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C5B787FF-459F-411D-8B05-96AD5E67EA61}" xr6:coauthVersionLast="47" xr6:coauthVersionMax="47" xr10:uidLastSave="{00000000-0000-0000-0000-000000000000}"/>
  <bookViews>
    <workbookView xWindow="-23148" yWindow="-108" windowWidth="23256" windowHeight="12456" tabRatio="766" firstSheet="1" activeTab="1" xr2:uid="{00000000-000D-0000-FFFF-FFFF00000000}"/>
  </bookViews>
  <sheets>
    <sheet name="General Instructions" sheetId="10" r:id="rId1"/>
    <sheet name="General Inputs" sheetId="2" r:id="rId2"/>
    <sheet name="Output (non-LI)" sheetId="3" r:id="rId3"/>
    <sheet name="LI Output" sheetId="30" r:id="rId4"/>
    <sheet name="Elec Futures" sheetId="5" r:id="rId5"/>
    <sheet name="NG Futures" sheetId="16" r:id="rId6"/>
    <sheet name="Avoided AC" sheetId="9" r:id="rId7"/>
    <sheet name="Adjustments" sheetId="8" r:id="rId8"/>
    <sheet name="BLS Input" sheetId="7" r:id="rId9"/>
    <sheet name="Generation Capacity" sheetId="17" r:id="rId10"/>
    <sheet name="T&amp;D Capacity" sheetId="13" r:id="rId11"/>
    <sheet name="AEPS" sheetId="14" r:id="rId12"/>
    <sheet name="DRIPE" sheetId="21" r:id="rId13"/>
    <sheet name="Arrearages" sheetId="22" r:id="rId14"/>
    <sheet name="Six Period Loadshapes" sheetId="23" r:id="rId15"/>
    <sheet name="PJM_SOM" sheetId="31" r:id="rId16"/>
    <sheet name="Lookups" sheetId="24" r:id="rId17"/>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BLS_Esc_Rate">'BLS Input'!$N$24</definedName>
    <definedName name="EDC_NAME">'General Inputs'!$C$2</definedName>
    <definedName name="Elec_Off_Peak">'Avoided AC'!$P:$P</definedName>
    <definedName name="Elec_On_Peak">'Avoided AC'!$O:$O</definedName>
    <definedName name="ELEC_Zone_Adjust">'Elec Futures'!$R$5</definedName>
    <definedName name="Gas_EIA">'NG Futures'!$L$12:$AF$12</definedName>
    <definedName name="Gas_EIA2">'NG Futures'!$L$12:$AG$12</definedName>
    <definedName name="HR_High_Plant">'General Inputs'!$C$9</definedName>
    <definedName name="HR_Low_Plant">'General Inputs'!$C$8</definedName>
    <definedName name="Inflation">'General Inputs'!$C$5</definedName>
    <definedName name="Inflation_Rate">'General Inputs'!$C$5</definedName>
    <definedName name="NG_Load_Shape">Adjustments!$J$3:$J$14</definedName>
    <definedName name="NG_Zone_Adjust">Adjustments!$H$3:$I$14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54321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hidden="1">FALSE</definedName>
    <definedName name="Seasons">'General Inputs'!$C$20:$C$31</definedName>
    <definedName name="Spark_Spread_Off">Adjustments!$L$3:$L$14</definedName>
    <definedName name="Spark_Spread_On">Adjustments!$K$3:$K$14</definedName>
    <definedName name="Start_Year">'General Inputs'!$D$3</definedName>
    <definedName name="Start_Year_PY">'General Inputs'!$C$3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6" l="1"/>
  <c r="B5" i="30"/>
  <c r="AG9" i="16" l="1"/>
  <c r="AG10" i="16"/>
  <c r="AG12" i="16" l="1"/>
  <c r="F10" i="16" l="1"/>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9" i="16"/>
  <c r="AF127" i="8"/>
  <c r="AF126" i="8"/>
  <c r="AC126" i="8"/>
  <c r="AC127" i="8"/>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3" i="5"/>
  <c r="N3" i="5"/>
  <c r="O3" i="5" s="1"/>
  <c r="P3" i="5" s="1"/>
  <c r="Q3" i="5" s="1"/>
  <c r="J14" i="17" l="1"/>
  <c r="K14" i="17"/>
  <c r="L14" i="17"/>
  <c r="M14" i="17"/>
  <c r="I14" i="17"/>
  <c r="E14" i="17"/>
  <c r="F14" i="17"/>
  <c r="G14" i="17"/>
  <c r="H14" i="17"/>
  <c r="D14" i="17"/>
  <c r="N116" i="30" l="1"/>
  <c r="N115" i="30"/>
  <c r="N114" i="30"/>
  <c r="N113" i="30"/>
  <c r="N88" i="30"/>
  <c r="N87" i="30"/>
  <c r="N86" i="30"/>
  <c r="N60" i="30"/>
  <c r="N59" i="30"/>
  <c r="N32" i="30"/>
  <c r="N116" i="3"/>
  <c r="N115" i="3"/>
  <c r="N114" i="3"/>
  <c r="N113" i="3"/>
  <c r="N88" i="3"/>
  <c r="N87" i="3"/>
  <c r="N86" i="3"/>
  <c r="N60" i="3"/>
  <c r="N59" i="3"/>
  <c r="N32" i="3"/>
  <c r="B4" i="17"/>
  <c r="E2" i="8"/>
  <c r="E50" i="8" s="1"/>
  <c r="F50" i="8" s="1"/>
  <c r="E35" i="8" l="1"/>
  <c r="F35" i="8" s="1"/>
  <c r="E38" i="8"/>
  <c r="F38" i="8" s="1"/>
  <c r="E39" i="8"/>
  <c r="F39" i="8" s="1"/>
  <c r="E8" i="8"/>
  <c r="F8" i="8" s="1"/>
  <c r="E24" i="8"/>
  <c r="F24" i="8" s="1"/>
  <c r="E40" i="8"/>
  <c r="F40" i="8" s="1"/>
  <c r="E4" i="8"/>
  <c r="F4" i="8" s="1"/>
  <c r="E5" i="8"/>
  <c r="F5" i="8" s="1"/>
  <c r="E6" i="8"/>
  <c r="F6" i="8" s="1"/>
  <c r="E9" i="8"/>
  <c r="F9" i="8" s="1"/>
  <c r="E25" i="8"/>
  <c r="F25" i="8" s="1"/>
  <c r="E41" i="8"/>
  <c r="F41" i="8" s="1"/>
  <c r="E36" i="8"/>
  <c r="F36" i="8" s="1"/>
  <c r="E22" i="8"/>
  <c r="F22" i="8" s="1"/>
  <c r="E10" i="8"/>
  <c r="F10" i="8" s="1"/>
  <c r="E26" i="8"/>
  <c r="F26" i="8" s="1"/>
  <c r="E42" i="8"/>
  <c r="F42" i="8" s="1"/>
  <c r="E43" i="8"/>
  <c r="F43" i="8" s="1"/>
  <c r="E19" i="8"/>
  <c r="F19" i="8" s="1"/>
  <c r="E12" i="8"/>
  <c r="F12" i="8" s="1"/>
  <c r="E28" i="8"/>
  <c r="F28" i="8" s="1"/>
  <c r="E44" i="8"/>
  <c r="F44" i="8" s="1"/>
  <c r="E13" i="8"/>
  <c r="F13" i="8" s="1"/>
  <c r="E29" i="8"/>
  <c r="F29" i="8" s="1"/>
  <c r="E45" i="8"/>
  <c r="F45" i="8" s="1"/>
  <c r="E3" i="8"/>
  <c r="F3" i="8" s="1"/>
  <c r="E7" i="8"/>
  <c r="F7" i="8" s="1"/>
  <c r="E14" i="8"/>
  <c r="F14" i="8" s="1"/>
  <c r="E30" i="8"/>
  <c r="F30" i="8" s="1"/>
  <c r="E46" i="8"/>
  <c r="F46" i="8" s="1"/>
  <c r="E15" i="8"/>
  <c r="F15" i="8" s="1"/>
  <c r="E31" i="8"/>
  <c r="F31" i="8" s="1"/>
  <c r="E47" i="8"/>
  <c r="F47" i="8" s="1"/>
  <c r="E21" i="8"/>
  <c r="F21" i="8" s="1"/>
  <c r="E23" i="8"/>
  <c r="F23" i="8" s="1"/>
  <c r="E27" i="8"/>
  <c r="F27" i="8" s="1"/>
  <c r="E16" i="8"/>
  <c r="F16" i="8" s="1"/>
  <c r="E32" i="8"/>
  <c r="F32" i="8" s="1"/>
  <c r="E48" i="8"/>
  <c r="F48" i="8" s="1"/>
  <c r="E37" i="8"/>
  <c r="F37" i="8" s="1"/>
  <c r="E11" i="8"/>
  <c r="F11" i="8" s="1"/>
  <c r="E17" i="8"/>
  <c r="F17" i="8" s="1"/>
  <c r="E33" i="8"/>
  <c r="F33" i="8" s="1"/>
  <c r="E49" i="8"/>
  <c r="F49" i="8" s="1"/>
  <c r="E20" i="8"/>
  <c r="F20" i="8" s="1"/>
  <c r="E18" i="8"/>
  <c r="F18" i="8" s="1"/>
  <c r="E34" i="8"/>
  <c r="F34" i="8" s="1"/>
  <c r="AB9" i="17"/>
  <c r="M111" i="3" l="1"/>
  <c r="K111" i="3"/>
  <c r="I111" i="3"/>
  <c r="G111" i="3"/>
  <c r="E111" i="3"/>
  <c r="C111" i="3"/>
  <c r="M84" i="3"/>
  <c r="K84" i="3"/>
  <c r="I84" i="3"/>
  <c r="G84" i="3"/>
  <c r="E84" i="3"/>
  <c r="C84" i="3"/>
  <c r="M57" i="3"/>
  <c r="K57" i="3"/>
  <c r="I57" i="3"/>
  <c r="G57" i="3"/>
  <c r="E57" i="3"/>
  <c r="C57" i="3"/>
  <c r="M30" i="3"/>
  <c r="K30" i="3"/>
  <c r="I30" i="3"/>
  <c r="G30" i="3"/>
  <c r="E30" i="3"/>
  <c r="C30" i="3"/>
  <c r="M3" i="3"/>
  <c r="K3" i="3"/>
  <c r="I3" i="3"/>
  <c r="G3" i="3"/>
  <c r="E3" i="3"/>
  <c r="C3" i="3"/>
  <c r="M111" i="30"/>
  <c r="K111" i="30"/>
  <c r="I111" i="30"/>
  <c r="G111" i="30"/>
  <c r="E111" i="30"/>
  <c r="C111" i="30"/>
  <c r="M84" i="30"/>
  <c r="K84" i="30"/>
  <c r="I84" i="30"/>
  <c r="G84" i="30"/>
  <c r="E84" i="30"/>
  <c r="C84" i="30"/>
  <c r="M57" i="30"/>
  <c r="K57" i="30"/>
  <c r="I57" i="30"/>
  <c r="G57" i="30"/>
  <c r="E57" i="30"/>
  <c r="C57" i="30"/>
  <c r="M30" i="30"/>
  <c r="K30" i="30"/>
  <c r="I30" i="30"/>
  <c r="G30" i="30"/>
  <c r="E30" i="30"/>
  <c r="C30" i="30"/>
  <c r="M3" i="30"/>
  <c r="K3" i="30"/>
  <c r="I3" i="30"/>
  <c r="G3" i="30"/>
  <c r="E3" i="30"/>
  <c r="C3" i="30"/>
  <c r="AH15" i="7" l="1"/>
  <c r="AG15" i="7"/>
  <c r="AG16" i="7"/>
  <c r="AH21" i="7"/>
  <c r="AG21" i="7"/>
  <c r="AH20" i="7"/>
  <c r="AG20" i="7"/>
  <c r="AH19" i="7"/>
  <c r="AG19" i="7"/>
  <c r="AH18" i="7"/>
  <c r="AG18" i="7"/>
  <c r="AH17" i="7"/>
  <c r="AG17" i="7"/>
  <c r="AH16" i="7"/>
  <c r="T16" i="7"/>
  <c r="T17" i="7" s="1"/>
  <c r="T18" i="7" s="1"/>
  <c r="T19" i="7" s="1"/>
  <c r="T20" i="7" s="1"/>
  <c r="T21" i="7" s="1"/>
  <c r="J116" i="30"/>
  <c r="I116" i="30"/>
  <c r="J115" i="30"/>
  <c r="I115" i="30"/>
  <c r="J114" i="30"/>
  <c r="I114" i="30"/>
  <c r="J113" i="30"/>
  <c r="I113" i="30"/>
  <c r="J88" i="30"/>
  <c r="I88" i="30"/>
  <c r="J87" i="30"/>
  <c r="I87" i="30"/>
  <c r="J86" i="30"/>
  <c r="I86" i="30"/>
  <c r="J60" i="30"/>
  <c r="I60" i="30"/>
  <c r="J59" i="30"/>
  <c r="I59" i="30"/>
  <c r="J32" i="30"/>
  <c r="I32" i="30"/>
  <c r="J116" i="3"/>
  <c r="I116" i="3"/>
  <c r="J115" i="3"/>
  <c r="I115" i="3"/>
  <c r="J114" i="3"/>
  <c r="I114" i="3"/>
  <c r="J113" i="3"/>
  <c r="I113" i="3"/>
  <c r="J88" i="3"/>
  <c r="I88" i="3"/>
  <c r="J87" i="3"/>
  <c r="I87" i="3"/>
  <c r="J86" i="3"/>
  <c r="I86" i="3"/>
  <c r="J60" i="3"/>
  <c r="I60" i="3"/>
  <c r="J59" i="3"/>
  <c r="I59" i="3"/>
  <c r="J32" i="3"/>
  <c r="I32" i="3"/>
  <c r="M55" i="21"/>
  <c r="L55" i="21"/>
  <c r="K55" i="21"/>
  <c r="J55" i="21"/>
  <c r="M51" i="21"/>
  <c r="K51" i="21"/>
  <c r="K47" i="21"/>
  <c r="J47" i="21"/>
  <c r="L43" i="21"/>
  <c r="J43" i="21"/>
  <c r="L42" i="21"/>
  <c r="F55" i="21"/>
  <c r="E55" i="21"/>
  <c r="D55" i="21"/>
  <c r="C55" i="21"/>
  <c r="E51" i="21"/>
  <c r="D51" i="21"/>
  <c r="C51" i="21"/>
  <c r="E47" i="21"/>
  <c r="D47" i="21"/>
  <c r="D43" i="21"/>
  <c r="G6" i="21"/>
  <c r="N54" i="21" s="1"/>
  <c r="G5" i="21"/>
  <c r="G54" i="21" s="1"/>
  <c r="I36" i="21"/>
  <c r="I37" i="21" s="1"/>
  <c r="I38" i="21" s="1"/>
  <c r="I39" i="21" s="1"/>
  <c r="I40" i="21" s="1"/>
  <c r="I41" i="21" s="1"/>
  <c r="I42" i="21" s="1"/>
  <c r="I43" i="21" s="1"/>
  <c r="I44" i="21" s="1"/>
  <c r="I45" i="21" s="1"/>
  <c r="I46" i="21" s="1"/>
  <c r="I47" i="21" s="1"/>
  <c r="I48" i="21" s="1"/>
  <c r="I49" i="21" s="1"/>
  <c r="I50" i="21" s="1"/>
  <c r="I51" i="21" s="1"/>
  <c r="I52" i="21" s="1"/>
  <c r="I53" i="21" s="1"/>
  <c r="I54" i="21" s="1"/>
  <c r="I55" i="21" s="1"/>
  <c r="N35" i="21"/>
  <c r="M35" i="21"/>
  <c r="L35" i="21"/>
  <c r="K35" i="21"/>
  <c r="J35" i="21"/>
  <c r="B36" i="21"/>
  <c r="B37" i="21" s="1"/>
  <c r="B38" i="21" s="1"/>
  <c r="B39" i="21" s="1"/>
  <c r="B40" i="21" s="1"/>
  <c r="B41" i="21" s="1"/>
  <c r="B42" i="21" s="1"/>
  <c r="B43" i="21" s="1"/>
  <c r="B44" i="21" s="1"/>
  <c r="B45" i="21" s="1"/>
  <c r="B46" i="21" s="1"/>
  <c r="B47" i="21" s="1"/>
  <c r="B48" i="21" s="1"/>
  <c r="B49" i="21" s="1"/>
  <c r="B50" i="21" s="1"/>
  <c r="B51" i="21" s="1"/>
  <c r="B52" i="21" s="1"/>
  <c r="B53" i="21" s="1"/>
  <c r="B54" i="21" s="1"/>
  <c r="B55" i="21" s="1"/>
  <c r="G35" i="21"/>
  <c r="F35" i="21"/>
  <c r="E35" i="21"/>
  <c r="D35" i="21"/>
  <c r="C35" i="21"/>
  <c r="B15" i="14"/>
  <c r="B12" i="14"/>
  <c r="F10" i="14"/>
  <c r="G10" i="14"/>
  <c r="G9" i="14"/>
  <c r="G8" i="14"/>
  <c r="G7" i="14"/>
  <c r="H116" i="3"/>
  <c r="G116" i="3"/>
  <c r="F116" i="3"/>
  <c r="E116" i="3"/>
  <c r="D116" i="3"/>
  <c r="C116" i="3"/>
  <c r="H115" i="3"/>
  <c r="G115" i="3"/>
  <c r="F115" i="3"/>
  <c r="E115" i="3"/>
  <c r="D115" i="3"/>
  <c r="C115" i="3"/>
  <c r="H114" i="3"/>
  <c r="G114" i="3"/>
  <c r="F114" i="3"/>
  <c r="E114" i="3"/>
  <c r="D114" i="3"/>
  <c r="C114" i="3"/>
  <c r="H113" i="3"/>
  <c r="G113" i="3"/>
  <c r="F113" i="3"/>
  <c r="E113" i="3"/>
  <c r="D113" i="3"/>
  <c r="C113" i="3"/>
  <c r="H88" i="3"/>
  <c r="G88" i="3"/>
  <c r="F88" i="3"/>
  <c r="E88" i="3"/>
  <c r="D88" i="3"/>
  <c r="C88" i="3"/>
  <c r="H87" i="3"/>
  <c r="G87" i="3"/>
  <c r="F87" i="3"/>
  <c r="E87" i="3"/>
  <c r="D87" i="3"/>
  <c r="C87" i="3"/>
  <c r="H86" i="3"/>
  <c r="G86" i="3"/>
  <c r="F86" i="3"/>
  <c r="E86" i="3"/>
  <c r="D86" i="3"/>
  <c r="C86" i="3"/>
  <c r="H60" i="3"/>
  <c r="G60" i="3"/>
  <c r="F60" i="3"/>
  <c r="E60" i="3"/>
  <c r="D60" i="3"/>
  <c r="C60" i="3"/>
  <c r="H59" i="3"/>
  <c r="G59" i="3"/>
  <c r="F59" i="3"/>
  <c r="E59" i="3"/>
  <c r="D59" i="3"/>
  <c r="C59" i="3"/>
  <c r="H32" i="3"/>
  <c r="G32" i="3"/>
  <c r="F32" i="3"/>
  <c r="E32" i="3"/>
  <c r="D32" i="3"/>
  <c r="C32" i="3"/>
  <c r="K5" i="3"/>
  <c r="L5" i="3"/>
  <c r="M5" i="3"/>
  <c r="P8" i="14"/>
  <c r="P9" i="14" s="1"/>
  <c r="P10" i="14" s="1"/>
  <c r="P11" i="14" s="1"/>
  <c r="P12" i="14" s="1"/>
  <c r="P13" i="14" s="1"/>
  <c r="P14" i="14" s="1"/>
  <c r="P15" i="14" s="1"/>
  <c r="P16" i="14" s="1"/>
  <c r="P17" i="14" s="1"/>
  <c r="P18" i="14" s="1"/>
  <c r="P19" i="14" s="1"/>
  <c r="P20" i="14" s="1"/>
  <c r="P21" i="14" s="1"/>
  <c r="P22" i="14" s="1"/>
  <c r="P23" i="14" s="1"/>
  <c r="P24" i="14" s="1"/>
  <c r="P25" i="14" s="1"/>
  <c r="P26" i="14" s="1"/>
  <c r="P27" i="14" s="1"/>
  <c r="P28" i="14" s="1"/>
  <c r="P29" i="14" s="1"/>
  <c r="P30" i="14" s="1"/>
  <c r="P31" i="14" s="1"/>
  <c r="P32" i="14" s="1"/>
  <c r="P33" i="14" s="1"/>
  <c r="P34" i="14" s="1"/>
  <c r="P35" i="14" s="1"/>
  <c r="P36" i="14" s="1"/>
  <c r="P37" i="14" s="1"/>
  <c r="A115" i="30"/>
  <c r="O114" i="30"/>
  <c r="D114" i="30"/>
  <c r="C114" i="30"/>
  <c r="A114" i="30"/>
  <c r="O113" i="30"/>
  <c r="M113" i="30"/>
  <c r="L113" i="30"/>
  <c r="K113" i="30"/>
  <c r="H113" i="30"/>
  <c r="G113" i="30"/>
  <c r="F113" i="30"/>
  <c r="E113" i="30"/>
  <c r="D113" i="30"/>
  <c r="C113" i="30"/>
  <c r="O88" i="30"/>
  <c r="M88" i="30"/>
  <c r="L88" i="30"/>
  <c r="K88" i="30"/>
  <c r="H88" i="30"/>
  <c r="A88" i="30"/>
  <c r="F88" i="30" s="1"/>
  <c r="O87" i="30"/>
  <c r="M87" i="30"/>
  <c r="L87" i="30"/>
  <c r="K87" i="30"/>
  <c r="G87" i="30"/>
  <c r="E87" i="30"/>
  <c r="A87" i="30"/>
  <c r="O86" i="30"/>
  <c r="M86" i="30"/>
  <c r="L86" i="30"/>
  <c r="K86" i="30"/>
  <c r="H86" i="30"/>
  <c r="G86" i="30"/>
  <c r="F86" i="30"/>
  <c r="E86" i="30"/>
  <c r="D86" i="30"/>
  <c r="C86" i="30"/>
  <c r="A61" i="30"/>
  <c r="L60" i="30"/>
  <c r="K60" i="30"/>
  <c r="H60" i="30"/>
  <c r="C60" i="30"/>
  <c r="A60" i="30"/>
  <c r="O59" i="30"/>
  <c r="M59" i="30"/>
  <c r="L59" i="30"/>
  <c r="K59" i="30"/>
  <c r="H59" i="30"/>
  <c r="G59" i="30"/>
  <c r="F59" i="30"/>
  <c r="E59" i="30"/>
  <c r="D59" i="30"/>
  <c r="C59" i="30"/>
  <c r="A33" i="30"/>
  <c r="O32" i="30"/>
  <c r="M32" i="30"/>
  <c r="L32" i="30"/>
  <c r="K32" i="30"/>
  <c r="H32" i="30"/>
  <c r="G32" i="30"/>
  <c r="F32" i="30"/>
  <c r="E32" i="30"/>
  <c r="D32" i="30"/>
  <c r="C32" i="30"/>
  <c r="A6" i="30"/>
  <c r="M5" i="30"/>
  <c r="L5" i="30"/>
  <c r="K5" i="30"/>
  <c r="K43" i="21" l="1"/>
  <c r="L47" i="21"/>
  <c r="E42" i="21"/>
  <c r="M47" i="21"/>
  <c r="C43" i="21"/>
  <c r="J51" i="21"/>
  <c r="C47" i="21"/>
  <c r="L51" i="21"/>
  <c r="F43" i="21"/>
  <c r="C44" i="21"/>
  <c r="C48" i="21"/>
  <c r="J52" i="21"/>
  <c r="D44" i="21"/>
  <c r="K48" i="21"/>
  <c r="F36" i="21"/>
  <c r="E48" i="21"/>
  <c r="L44" i="21"/>
  <c r="G36" i="21"/>
  <c r="F44" i="21"/>
  <c r="F48" i="21"/>
  <c r="F52" i="21"/>
  <c r="N36" i="21"/>
  <c r="M44" i="21"/>
  <c r="M48" i="21"/>
  <c r="M52" i="21"/>
  <c r="E37" i="21"/>
  <c r="G44" i="21"/>
  <c r="G48" i="21"/>
  <c r="G52" i="21"/>
  <c r="L37" i="21"/>
  <c r="N44" i="21"/>
  <c r="N48" i="21"/>
  <c r="N52" i="21"/>
  <c r="D36" i="21"/>
  <c r="K36" i="21"/>
  <c r="K44" i="21"/>
  <c r="E44" i="21"/>
  <c r="E52" i="21"/>
  <c r="M36" i="21"/>
  <c r="L52" i="21"/>
  <c r="C45" i="21"/>
  <c r="J49" i="21"/>
  <c r="G37" i="21"/>
  <c r="D45" i="21"/>
  <c r="D49" i="21"/>
  <c r="D53" i="21"/>
  <c r="N37" i="21"/>
  <c r="K45" i="21"/>
  <c r="K49" i="21"/>
  <c r="K53" i="21"/>
  <c r="E43" i="21"/>
  <c r="F47" i="21"/>
  <c r="F51" i="21"/>
  <c r="G47" i="21"/>
  <c r="N47" i="21"/>
  <c r="J44" i="21"/>
  <c r="E36" i="21"/>
  <c r="D48" i="21"/>
  <c r="D52" i="21"/>
  <c r="L36" i="21"/>
  <c r="K52" i="21"/>
  <c r="L48" i="21"/>
  <c r="F37" i="21"/>
  <c r="C49" i="21"/>
  <c r="C53" i="21"/>
  <c r="M37" i="21"/>
  <c r="J45" i="21"/>
  <c r="J53" i="21"/>
  <c r="F38" i="21"/>
  <c r="E45" i="21"/>
  <c r="E49" i="21"/>
  <c r="E53" i="21"/>
  <c r="M38" i="21"/>
  <c r="L45" i="21"/>
  <c r="L49" i="21"/>
  <c r="L53" i="21"/>
  <c r="G51" i="21"/>
  <c r="G55" i="21"/>
  <c r="M43" i="21"/>
  <c r="N55" i="21"/>
  <c r="J48" i="21"/>
  <c r="M53" i="21"/>
  <c r="N49" i="21"/>
  <c r="C46" i="21"/>
  <c r="C54" i="21"/>
  <c r="J54" i="21"/>
  <c r="C41" i="21"/>
  <c r="D46" i="21"/>
  <c r="D50" i="21"/>
  <c r="D54" i="21"/>
  <c r="J41" i="21"/>
  <c r="K46" i="21"/>
  <c r="K54" i="21"/>
  <c r="D41" i="21"/>
  <c r="E46" i="21"/>
  <c r="E50" i="21"/>
  <c r="E54" i="21"/>
  <c r="K41" i="21"/>
  <c r="L46" i="21"/>
  <c r="L50" i="21"/>
  <c r="L54" i="21"/>
  <c r="C52" i="21"/>
  <c r="G38" i="21"/>
  <c r="G39" i="21"/>
  <c r="G45" i="21"/>
  <c r="G49" i="21"/>
  <c r="G53" i="21"/>
  <c r="N39" i="21"/>
  <c r="N45" i="21"/>
  <c r="N53" i="21"/>
  <c r="J50" i="21"/>
  <c r="C42" i="21"/>
  <c r="F46" i="21"/>
  <c r="F50" i="21"/>
  <c r="F54" i="21"/>
  <c r="J42" i="21"/>
  <c r="M46" i="21"/>
  <c r="M50" i="21"/>
  <c r="M54" i="21"/>
  <c r="N51" i="21"/>
  <c r="F45" i="21"/>
  <c r="F49" i="21"/>
  <c r="F53" i="21"/>
  <c r="N38" i="21"/>
  <c r="M45" i="21"/>
  <c r="M49" i="21"/>
  <c r="C40" i="21"/>
  <c r="C50" i="21"/>
  <c r="J40" i="21"/>
  <c r="J46" i="21"/>
  <c r="K50" i="21"/>
  <c r="D42" i="21"/>
  <c r="G46" i="21"/>
  <c r="G50" i="21"/>
  <c r="K42" i="21"/>
  <c r="N46" i="21"/>
  <c r="N50" i="21"/>
  <c r="AG22" i="7"/>
  <c r="N23" i="7" s="1"/>
  <c r="A34" i="30"/>
  <c r="A7" i="30"/>
  <c r="F115" i="30"/>
  <c r="K115" i="30"/>
  <c r="G115" i="30"/>
  <c r="H115" i="30"/>
  <c r="O115" i="30"/>
  <c r="A116" i="30"/>
  <c r="C115" i="30"/>
  <c r="A62" i="30"/>
  <c r="D115" i="30"/>
  <c r="E115" i="30"/>
  <c r="M115" i="30"/>
  <c r="L115" i="30"/>
  <c r="G60" i="30"/>
  <c r="E60" i="30"/>
  <c r="F60" i="30"/>
  <c r="D60" i="30"/>
  <c r="O60" i="30"/>
  <c r="M60" i="30"/>
  <c r="L114" i="30"/>
  <c r="K114" i="30"/>
  <c r="G114" i="30"/>
  <c r="F114" i="30"/>
  <c r="E114" i="30"/>
  <c r="H114" i="30"/>
  <c r="M114" i="30"/>
  <c r="H87" i="30"/>
  <c r="F87" i="30"/>
  <c r="D87" i="30"/>
  <c r="C87" i="30"/>
  <c r="E88" i="30"/>
  <c r="D88" i="30"/>
  <c r="C88" i="30"/>
  <c r="A89" i="30"/>
  <c r="G88" i="30"/>
  <c r="A8" i="30" l="1"/>
  <c r="A35" i="30"/>
  <c r="A90" i="30"/>
  <c r="A63" i="30"/>
  <c r="O116" i="30"/>
  <c r="C116" i="30"/>
  <c r="F116" i="30"/>
  <c r="G116" i="30"/>
  <c r="L116" i="30"/>
  <c r="K116" i="30"/>
  <c r="D116" i="30"/>
  <c r="A117" i="30"/>
  <c r="M116" i="30"/>
  <c r="H116" i="30"/>
  <c r="E116" i="30"/>
  <c r="P2" i="9"/>
  <c r="O2" i="9"/>
  <c r="M2" i="9"/>
  <c r="L2" i="9"/>
  <c r="J2" i="9"/>
  <c r="I2" i="9"/>
  <c r="D7" i="22"/>
  <c r="D8" i="22" s="1"/>
  <c r="D9" i="22" s="1"/>
  <c r="D10" i="22" s="1"/>
  <c r="D11" i="22" s="1"/>
  <c r="D12" i="22" s="1"/>
  <c r="D13" i="22" s="1"/>
  <c r="D14" i="22" s="1"/>
  <c r="D15" i="22" s="1"/>
  <c r="D16" i="22" s="1"/>
  <c r="D17" i="22" s="1"/>
  <c r="D18" i="22" s="1"/>
  <c r="D19" i="22" s="1"/>
  <c r="D20" i="22" s="1"/>
  <c r="D21" i="22" s="1"/>
  <c r="D22" i="22" s="1"/>
  <c r="D23" i="22" s="1"/>
  <c r="D24" i="22" s="1"/>
  <c r="J6" i="22"/>
  <c r="J7" i="22" s="1"/>
  <c r="J8" i="22" s="1"/>
  <c r="J9" i="22" s="1"/>
  <c r="J10" i="22" s="1"/>
  <c r="J11" i="22" s="1"/>
  <c r="J12" i="22" s="1"/>
  <c r="J13" i="22" s="1"/>
  <c r="J14" i="22" s="1"/>
  <c r="J15" i="22" s="1"/>
  <c r="J16" i="22" s="1"/>
  <c r="J17" i="22" s="1"/>
  <c r="J18" i="22" s="1"/>
  <c r="J19" i="22" s="1"/>
  <c r="J20" i="22" s="1"/>
  <c r="J21" i="22" s="1"/>
  <c r="J22" i="22" s="1"/>
  <c r="J23" i="22" s="1"/>
  <c r="J24" i="22" s="1"/>
  <c r="I6" i="22"/>
  <c r="I7" i="22" s="1"/>
  <c r="I8" i="22" s="1"/>
  <c r="I9" i="22" s="1"/>
  <c r="I10" i="22" s="1"/>
  <c r="I11" i="22" s="1"/>
  <c r="I12" i="22" s="1"/>
  <c r="I13" i="22" s="1"/>
  <c r="I14" i="22" s="1"/>
  <c r="I15" i="22" s="1"/>
  <c r="I16" i="22" s="1"/>
  <c r="I17" i="22" s="1"/>
  <c r="I18" i="22" s="1"/>
  <c r="I19" i="22" s="1"/>
  <c r="I20" i="22" s="1"/>
  <c r="I21" i="22" s="1"/>
  <c r="I22" i="22" s="1"/>
  <c r="I23" i="22" s="1"/>
  <c r="I24" i="22" s="1"/>
  <c r="H6" i="22"/>
  <c r="H7" i="22" s="1"/>
  <c r="H8" i="22" s="1"/>
  <c r="H9" i="22" s="1"/>
  <c r="H10" i="22" s="1"/>
  <c r="H11" i="22" s="1"/>
  <c r="H12" i="22" s="1"/>
  <c r="H13" i="22" s="1"/>
  <c r="H14" i="22" s="1"/>
  <c r="H15" i="22" s="1"/>
  <c r="H16" i="22" s="1"/>
  <c r="H17" i="22" s="1"/>
  <c r="H18" i="22" s="1"/>
  <c r="H19" i="22" s="1"/>
  <c r="H20" i="22" s="1"/>
  <c r="H21" i="22" s="1"/>
  <c r="H22" i="22" s="1"/>
  <c r="H23" i="22" s="1"/>
  <c r="H24" i="22" s="1"/>
  <c r="G6" i="22"/>
  <c r="G7" i="22" s="1"/>
  <c r="G8" i="22" s="1"/>
  <c r="G9" i="22" s="1"/>
  <c r="G10" i="22" s="1"/>
  <c r="G11" i="22" s="1"/>
  <c r="G12" i="22" s="1"/>
  <c r="G13" i="22" s="1"/>
  <c r="G14" i="22" s="1"/>
  <c r="G15" i="22" s="1"/>
  <c r="G16" i="22" s="1"/>
  <c r="G17" i="22" s="1"/>
  <c r="G18" i="22" s="1"/>
  <c r="G19" i="22" s="1"/>
  <c r="G20" i="22" s="1"/>
  <c r="G21" i="22" s="1"/>
  <c r="G22" i="22" s="1"/>
  <c r="G23" i="22" s="1"/>
  <c r="G24" i="22" s="1"/>
  <c r="F6" i="22"/>
  <c r="F7" i="22" s="1"/>
  <c r="F8" i="22" s="1"/>
  <c r="F9" i="22" s="1"/>
  <c r="F10" i="22" s="1"/>
  <c r="F11" i="22" s="1"/>
  <c r="F12" i="22" s="1"/>
  <c r="F13" i="22" s="1"/>
  <c r="F14" i="22" s="1"/>
  <c r="F15" i="22" s="1"/>
  <c r="F16" i="22" s="1"/>
  <c r="F17" i="22" s="1"/>
  <c r="F18" i="22" s="1"/>
  <c r="F19" i="22" s="1"/>
  <c r="F20" i="22" s="1"/>
  <c r="F21" i="22" s="1"/>
  <c r="F22" i="22" s="1"/>
  <c r="F23" i="22" s="1"/>
  <c r="F24" i="22" s="1"/>
  <c r="E6" i="22"/>
  <c r="E7" i="22" s="1"/>
  <c r="E8" i="22" s="1"/>
  <c r="E9" i="22" s="1"/>
  <c r="E10" i="22" s="1"/>
  <c r="E11" i="22" s="1"/>
  <c r="E12" i="22" s="1"/>
  <c r="E13" i="22" s="1"/>
  <c r="E14" i="22" s="1"/>
  <c r="E15" i="22" s="1"/>
  <c r="E16" i="22" s="1"/>
  <c r="E17" i="22" s="1"/>
  <c r="E18" i="22" s="1"/>
  <c r="E19" i="22" s="1"/>
  <c r="E20" i="22" s="1"/>
  <c r="E21" i="22" s="1"/>
  <c r="E22" i="22" s="1"/>
  <c r="E23" i="22" s="1"/>
  <c r="E24" i="22" s="1"/>
  <c r="D6" i="22"/>
  <c r="A64" i="30" l="1"/>
  <c r="A118" i="30"/>
  <c r="A91" i="30"/>
  <c r="A36" i="30"/>
  <c r="A9" i="30"/>
  <c r="A37" i="30" l="1"/>
  <c r="A92" i="30"/>
  <c r="A10" i="30"/>
  <c r="A65" i="30"/>
  <c r="A119" i="30"/>
  <c r="G2" i="9"/>
  <c r="F2" i="9"/>
  <c r="I2" i="5"/>
  <c r="H2" i="5"/>
  <c r="I8" i="16"/>
  <c r="G8" i="16"/>
  <c r="F28" i="13"/>
  <c r="G28" i="13"/>
  <c r="H28" i="13"/>
  <c r="I28" i="13"/>
  <c r="J28" i="13"/>
  <c r="K28" i="13"/>
  <c r="E28" i="13"/>
  <c r="F4" i="13"/>
  <c r="G4" i="13"/>
  <c r="H4" i="13"/>
  <c r="I4" i="13"/>
  <c r="J4" i="13"/>
  <c r="K4" i="13"/>
  <c r="E4" i="13"/>
  <c r="N30" i="13"/>
  <c r="S32" i="13"/>
  <c r="N28" i="13"/>
  <c r="M5" i="13"/>
  <c r="N5" i="13"/>
  <c r="O5" i="13"/>
  <c r="P5" i="13"/>
  <c r="Q5" i="13"/>
  <c r="R5" i="13"/>
  <c r="S5" i="13"/>
  <c r="M6" i="13"/>
  <c r="N6" i="13"/>
  <c r="O6" i="13"/>
  <c r="P6" i="13"/>
  <c r="Q6" i="13"/>
  <c r="R6" i="13"/>
  <c r="S6" i="13"/>
  <c r="R7" i="13"/>
  <c r="S7" i="13"/>
  <c r="M8" i="13"/>
  <c r="N8" i="13"/>
  <c r="O8" i="13"/>
  <c r="P8" i="13"/>
  <c r="Q8" i="13"/>
  <c r="R8" i="13"/>
  <c r="S8" i="13"/>
  <c r="N4" i="13"/>
  <c r="O4" i="13"/>
  <c r="P4" i="13"/>
  <c r="Q4" i="13"/>
  <c r="R4" i="13"/>
  <c r="S4" i="13"/>
  <c r="AF40" i="13"/>
  <c r="O30" i="13" s="1"/>
  <c r="AF41" i="13"/>
  <c r="M30" i="13" s="1"/>
  <c r="AF31" i="13"/>
  <c r="AF30" i="13"/>
  <c r="M7" i="13" s="1"/>
  <c r="O116" i="3"/>
  <c r="M116" i="3"/>
  <c r="L116" i="3"/>
  <c r="K116" i="3"/>
  <c r="O115" i="3"/>
  <c r="M115" i="3"/>
  <c r="L115" i="3"/>
  <c r="K115" i="3"/>
  <c r="O114" i="3"/>
  <c r="M114" i="3"/>
  <c r="L114" i="3"/>
  <c r="K114" i="3"/>
  <c r="O113" i="3"/>
  <c r="M113" i="3"/>
  <c r="L113" i="3"/>
  <c r="K113" i="3"/>
  <c r="O88" i="3"/>
  <c r="M88" i="3"/>
  <c r="L88" i="3"/>
  <c r="K88" i="3"/>
  <c r="O87" i="3"/>
  <c r="M87" i="3"/>
  <c r="L87" i="3"/>
  <c r="K87" i="3"/>
  <c r="O86" i="3"/>
  <c r="M86" i="3"/>
  <c r="L86" i="3"/>
  <c r="K86" i="3"/>
  <c r="O60" i="3"/>
  <c r="M60" i="3"/>
  <c r="L60" i="3"/>
  <c r="K60" i="3"/>
  <c r="O59" i="3"/>
  <c r="M59" i="3"/>
  <c r="L59" i="3"/>
  <c r="K59" i="3"/>
  <c r="A114" i="3"/>
  <c r="A87" i="3"/>
  <c r="A61" i="3"/>
  <c r="A60" i="3"/>
  <c r="O32" i="3"/>
  <c r="M32" i="3"/>
  <c r="L32" i="3"/>
  <c r="K32" i="3"/>
  <c r="A33" i="3"/>
  <c r="M63" i="30" l="1"/>
  <c r="M117" i="30"/>
  <c r="M90" i="30"/>
  <c r="M36" i="30"/>
  <c r="M9" i="30"/>
  <c r="M61" i="30"/>
  <c r="M7" i="30"/>
  <c r="M34" i="30"/>
  <c r="M33" i="30"/>
  <c r="M6" i="30"/>
  <c r="M6" i="3"/>
  <c r="N5" i="30"/>
  <c r="N5" i="3"/>
  <c r="O31" i="13"/>
  <c r="O32" i="13"/>
  <c r="N32" i="13"/>
  <c r="M32" i="13"/>
  <c r="M29" i="13"/>
  <c r="P31" i="13"/>
  <c r="N31" i="13"/>
  <c r="M31" i="13"/>
  <c r="R30" i="13"/>
  <c r="S29" i="13"/>
  <c r="P32" i="13"/>
  <c r="Q30" i="13"/>
  <c r="R29" i="13"/>
  <c r="P29" i="13"/>
  <c r="O29" i="13"/>
  <c r="N29" i="13"/>
  <c r="R31" i="13"/>
  <c r="Q31" i="13"/>
  <c r="M28" i="13"/>
  <c r="S30" i="13"/>
  <c r="R28" i="13"/>
  <c r="P28" i="13"/>
  <c r="P30" i="13"/>
  <c r="R32" i="13"/>
  <c r="Q32" i="13"/>
  <c r="Q29" i="13"/>
  <c r="S31" i="13"/>
  <c r="S28" i="13"/>
  <c r="Q28" i="13"/>
  <c r="O28" i="13"/>
  <c r="P7" i="13"/>
  <c r="O7" i="13"/>
  <c r="Q7" i="13"/>
  <c r="N7" i="13"/>
  <c r="M4" i="13"/>
  <c r="A93" i="30"/>
  <c r="A11" i="30"/>
  <c r="A38" i="30"/>
  <c r="A66" i="30"/>
  <c r="A120" i="30"/>
  <c r="A115" i="3"/>
  <c r="A88" i="3"/>
  <c r="A62" i="3"/>
  <c r="A34" i="3"/>
  <c r="N61" i="3" l="1"/>
  <c r="N34" i="3"/>
  <c r="N61" i="30"/>
  <c r="N34" i="30"/>
  <c r="N7" i="30"/>
  <c r="N7" i="3"/>
  <c r="M89" i="30"/>
  <c r="M62" i="30"/>
  <c r="M35" i="30"/>
  <c r="M8" i="30"/>
  <c r="N117" i="3"/>
  <c r="N36" i="3"/>
  <c r="N63" i="30"/>
  <c r="N117" i="30"/>
  <c r="N90" i="3"/>
  <c r="N36" i="30"/>
  <c r="N90" i="30"/>
  <c r="N63" i="3"/>
  <c r="N9" i="30"/>
  <c r="N6" i="3"/>
  <c r="N9" i="3"/>
  <c r="N33" i="3"/>
  <c r="N33" i="30"/>
  <c r="N6" i="30"/>
  <c r="N62" i="30"/>
  <c r="N35" i="3"/>
  <c r="N62" i="3"/>
  <c r="N89" i="3"/>
  <c r="N35" i="30"/>
  <c r="N89" i="30"/>
  <c r="N8" i="30"/>
  <c r="N8" i="3"/>
  <c r="A94" i="30"/>
  <c r="A67" i="30"/>
  <c r="A121" i="30"/>
  <c r="A39" i="30"/>
  <c r="A12" i="30"/>
  <c r="A116" i="3"/>
  <c r="A89" i="3"/>
  <c r="A63" i="3"/>
  <c r="A35" i="3"/>
  <c r="A40" i="30" l="1"/>
  <c r="A13" i="30"/>
  <c r="A95" i="30"/>
  <c r="A68" i="30"/>
  <c r="A122" i="30"/>
  <c r="A117" i="3"/>
  <c r="A90" i="3"/>
  <c r="A64" i="3"/>
  <c r="A36" i="3"/>
  <c r="A123" i="30" l="1"/>
  <c r="A96" i="30"/>
  <c r="A41" i="30"/>
  <c r="A69" i="30"/>
  <c r="A14" i="30"/>
  <c r="A118" i="3"/>
  <c r="A91" i="3"/>
  <c r="A65" i="3"/>
  <c r="A37" i="3"/>
  <c r="A15" i="30" l="1"/>
  <c r="A70" i="30"/>
  <c r="A97" i="30"/>
  <c r="A42" i="30"/>
  <c r="A124" i="30"/>
  <c r="A119" i="3"/>
  <c r="A92" i="3"/>
  <c r="A66" i="3"/>
  <c r="A38" i="3"/>
  <c r="A125" i="30" l="1"/>
  <c r="A43" i="30"/>
  <c r="A16" i="30"/>
  <c r="A71" i="30"/>
  <c r="A98" i="30"/>
  <c r="A120" i="3"/>
  <c r="A93" i="3"/>
  <c r="A67" i="3"/>
  <c r="A39" i="3"/>
  <c r="A72" i="30" l="1"/>
  <c r="A17" i="30"/>
  <c r="A44" i="30"/>
  <c r="A126" i="30"/>
  <c r="A99" i="30"/>
  <c r="A121" i="3"/>
  <c r="A94" i="3"/>
  <c r="A68" i="3"/>
  <c r="A40" i="3"/>
  <c r="A127" i="30" l="1"/>
  <c r="A100" i="30"/>
  <c r="A18" i="30"/>
  <c r="A45" i="30"/>
  <c r="A73" i="30"/>
  <c r="A122" i="3"/>
  <c r="A95" i="3"/>
  <c r="A69" i="3"/>
  <c r="A41" i="3"/>
  <c r="A46" i="30" l="1"/>
  <c r="A19" i="30"/>
  <c r="A74" i="30"/>
  <c r="A128" i="30"/>
  <c r="A101" i="30"/>
  <c r="A123" i="3"/>
  <c r="A96" i="3"/>
  <c r="A70" i="3"/>
  <c r="A42" i="3"/>
  <c r="A20" i="30" l="1"/>
  <c r="A75" i="30"/>
  <c r="A102" i="30"/>
  <c r="A129" i="30"/>
  <c r="A47" i="30"/>
  <c r="A124" i="3"/>
  <c r="A97" i="3"/>
  <c r="A71" i="3"/>
  <c r="A43" i="3"/>
  <c r="A76" i="30" l="1"/>
  <c r="A21" i="30"/>
  <c r="A103" i="30"/>
  <c r="A48" i="30"/>
  <c r="A130" i="30"/>
  <c r="A125" i="3"/>
  <c r="A98" i="3"/>
  <c r="A72" i="3"/>
  <c r="A44" i="3"/>
  <c r="A104" i="30" l="1"/>
  <c r="A22" i="30"/>
  <c r="A49" i="30"/>
  <c r="A131" i="30"/>
  <c r="A77" i="30"/>
  <c r="A126" i="3"/>
  <c r="A99" i="3"/>
  <c r="A73" i="3"/>
  <c r="A45" i="3"/>
  <c r="A23" i="30" l="1"/>
  <c r="A132" i="30"/>
  <c r="A105" i="30"/>
  <c r="A50" i="30"/>
  <c r="A78" i="30"/>
  <c r="A127" i="3"/>
  <c r="A100" i="3"/>
  <c r="A74" i="3"/>
  <c r="A46" i="3"/>
  <c r="A51" i="30" l="1"/>
  <c r="A24" i="30"/>
  <c r="A128" i="3"/>
  <c r="A101" i="3"/>
  <c r="A75" i="3"/>
  <c r="A47" i="3"/>
  <c r="A129" i="3" l="1"/>
  <c r="A102" i="3"/>
  <c r="A76" i="3"/>
  <c r="A48" i="3"/>
  <c r="A130" i="3" l="1"/>
  <c r="A103" i="3"/>
  <c r="A77" i="3"/>
  <c r="A49" i="3"/>
  <c r="A131" i="3" l="1"/>
  <c r="A104" i="3"/>
  <c r="A78" i="3"/>
  <c r="A50" i="3"/>
  <c r="A132" i="3" l="1"/>
  <c r="A105" i="3"/>
  <c r="A51" i="3"/>
  <c r="Y14" i="17" l="1"/>
  <c r="S14" i="17"/>
  <c r="E21" i="17"/>
  <c r="O21" i="17" s="1"/>
  <c r="D21" i="17"/>
  <c r="N21" i="17" s="1"/>
  <c r="E20" i="17"/>
  <c r="O20" i="17" s="1"/>
  <c r="D20" i="17"/>
  <c r="N20" i="17" s="1"/>
  <c r="E19" i="17"/>
  <c r="O19" i="17" s="1"/>
  <c r="D19" i="17"/>
  <c r="N19" i="17" s="1"/>
  <c r="E18" i="17"/>
  <c r="O18" i="17" s="1"/>
  <c r="D18" i="17"/>
  <c r="N18" i="17" s="1"/>
  <c r="E17" i="17"/>
  <c r="O17" i="17" s="1"/>
  <c r="D17" i="17"/>
  <c r="N17" i="17" s="1"/>
  <c r="E16" i="17"/>
  <c r="O16" i="17" s="1"/>
  <c r="D16" i="17"/>
  <c r="N16" i="17" s="1"/>
  <c r="E15" i="17"/>
  <c r="O15" i="17" s="1"/>
  <c r="D15" i="17"/>
  <c r="N15" i="17" s="1"/>
  <c r="F15" i="17"/>
  <c r="P15" i="17" s="1"/>
  <c r="X14" i="17"/>
  <c r="W14" i="17"/>
  <c r="V14" i="17"/>
  <c r="R14" i="17"/>
  <c r="Q14" i="17"/>
  <c r="P14" i="17"/>
  <c r="C7" i="24" l="1"/>
  <c r="C8" i="24" s="1"/>
  <c r="C9" i="24" s="1"/>
  <c r="C10" i="24" s="1"/>
  <c r="C11" i="24" s="1"/>
  <c r="C12" i="24" s="1"/>
  <c r="L5" i="5"/>
  <c r="B5" i="22"/>
  <c r="N5" i="5" l="1"/>
  <c r="O5" i="5"/>
  <c r="P5" i="5"/>
  <c r="Q5" i="5"/>
  <c r="K5" i="5"/>
  <c r="M5" i="5"/>
  <c r="B6" i="22"/>
  <c r="B7" i="22" s="1"/>
  <c r="B8" i="22" s="1"/>
  <c r="B9" i="22" s="1"/>
  <c r="B10" i="22" s="1"/>
  <c r="B11" i="22" s="1"/>
  <c r="B12" i="22" s="1"/>
  <c r="B13" i="22" s="1"/>
  <c r="B14" i="22" s="1"/>
  <c r="B15" i="22" s="1"/>
  <c r="B16" i="22" s="1"/>
  <c r="B17" i="22" s="1"/>
  <c r="B18" i="22" s="1"/>
  <c r="B19" i="22" s="1"/>
  <c r="B20" i="22" s="1"/>
  <c r="B21" i="22" s="1"/>
  <c r="B22" i="22" s="1"/>
  <c r="B23" i="22" s="1"/>
  <c r="B24" i="22" s="1"/>
  <c r="R5" i="5" l="1"/>
  <c r="AI21" i="17" l="1"/>
  <c r="AH21" i="17"/>
  <c r="AI20" i="17"/>
  <c r="AH20" i="17"/>
  <c r="AI19" i="17"/>
  <c r="AH19" i="17"/>
  <c r="AI18" i="17"/>
  <c r="AH18" i="17"/>
  <c r="AI17" i="17"/>
  <c r="AH17" i="17"/>
  <c r="AI16" i="17"/>
  <c r="AH16" i="17"/>
  <c r="AI15" i="17"/>
  <c r="AH15" i="17"/>
  <c r="AI14" i="17"/>
  <c r="AH14" i="17"/>
  <c r="N20" i="7"/>
  <c r="N15" i="7"/>
  <c r="N16" i="7"/>
  <c r="N17" i="7"/>
  <c r="N18" i="7"/>
  <c r="N19" i="7"/>
  <c r="N21" i="7"/>
  <c r="O19" i="7"/>
  <c r="O15" i="7"/>
  <c r="O16" i="7"/>
  <c r="O17" i="7"/>
  <c r="O18" i="7"/>
  <c r="O20" i="7"/>
  <c r="O21" i="7"/>
  <c r="N22" i="7" l="1"/>
  <c r="N24" i="7" s="1"/>
  <c r="C28" i="17"/>
  <c r="AJ15" i="17"/>
  <c r="Q33" i="13" l="1"/>
  <c r="Q34" i="13" s="1"/>
  <c r="Q35" i="13" s="1"/>
  <c r="Q36" i="13" s="1"/>
  <c r="Q37" i="13" s="1"/>
  <c r="Q38" i="13" s="1"/>
  <c r="Q39" i="13" s="1"/>
  <c r="Q40" i="13" s="1"/>
  <c r="Q41" i="13" s="1"/>
  <c r="Q42" i="13" s="1"/>
  <c r="Q43" i="13" s="1"/>
  <c r="Q44" i="13" s="1"/>
  <c r="Q45" i="13" s="1"/>
  <c r="Q46" i="13" s="1"/>
  <c r="Q47" i="13" s="1"/>
  <c r="S33" i="13"/>
  <c r="R33" i="13"/>
  <c r="R34" i="13" s="1"/>
  <c r="R35" i="13" s="1"/>
  <c r="R36" i="13" s="1"/>
  <c r="R37" i="13" s="1"/>
  <c r="R38" i="13" s="1"/>
  <c r="R39" i="13" s="1"/>
  <c r="R40" i="13" s="1"/>
  <c r="R41" i="13" s="1"/>
  <c r="R42" i="13" s="1"/>
  <c r="R43" i="13" s="1"/>
  <c r="R44" i="13" s="1"/>
  <c r="R45" i="13" s="1"/>
  <c r="R46" i="13" s="1"/>
  <c r="R47" i="13" s="1"/>
  <c r="P33" i="13"/>
  <c r="P34" i="13" s="1"/>
  <c r="P35" i="13" s="1"/>
  <c r="P36" i="13" s="1"/>
  <c r="P37" i="13" s="1"/>
  <c r="P38" i="13" s="1"/>
  <c r="P39" i="13" s="1"/>
  <c r="P40" i="13" s="1"/>
  <c r="P41" i="13" s="1"/>
  <c r="P42" i="13" s="1"/>
  <c r="P43" i="13" s="1"/>
  <c r="P44" i="13" s="1"/>
  <c r="P45" i="13" s="1"/>
  <c r="P46" i="13" s="1"/>
  <c r="P47" i="13" s="1"/>
  <c r="M33" i="13"/>
  <c r="M34" i="13" s="1"/>
  <c r="M35" i="13" s="1"/>
  <c r="M36" i="13" s="1"/>
  <c r="M37" i="13" s="1"/>
  <c r="M38" i="13" s="1"/>
  <c r="M39" i="13" s="1"/>
  <c r="M40" i="13" s="1"/>
  <c r="M41" i="13" s="1"/>
  <c r="M42" i="13" s="1"/>
  <c r="M43" i="13" s="1"/>
  <c r="M44" i="13" s="1"/>
  <c r="M45" i="13" s="1"/>
  <c r="M46" i="13" s="1"/>
  <c r="M47" i="13" s="1"/>
  <c r="O33" i="13"/>
  <c r="O34" i="13" s="1"/>
  <c r="O35" i="13" s="1"/>
  <c r="O36" i="13" s="1"/>
  <c r="O37" i="13" s="1"/>
  <c r="O38" i="13" s="1"/>
  <c r="O39" i="13" s="1"/>
  <c r="O40" i="13" s="1"/>
  <c r="O41" i="13" s="1"/>
  <c r="O42" i="13" s="1"/>
  <c r="O43" i="13" s="1"/>
  <c r="O44" i="13" s="1"/>
  <c r="O45" i="13" s="1"/>
  <c r="O46" i="13" s="1"/>
  <c r="O47" i="13" s="1"/>
  <c r="N33" i="13"/>
  <c r="Q9" i="13"/>
  <c r="Q10" i="13" s="1"/>
  <c r="Q11" i="13" s="1"/>
  <c r="Q12" i="13" s="1"/>
  <c r="Q13" i="13" s="1"/>
  <c r="Q14" i="13" s="1"/>
  <c r="Q15" i="13" s="1"/>
  <c r="Q16" i="13" s="1"/>
  <c r="Q17" i="13" s="1"/>
  <c r="Q18" i="13" s="1"/>
  <c r="Q19" i="13" s="1"/>
  <c r="Q20" i="13" s="1"/>
  <c r="Q21" i="13" s="1"/>
  <c r="Q22" i="13" s="1"/>
  <c r="Q23" i="13" s="1"/>
  <c r="P9" i="13"/>
  <c r="P10" i="13" s="1"/>
  <c r="P11" i="13" s="1"/>
  <c r="P12" i="13" s="1"/>
  <c r="P13" i="13" s="1"/>
  <c r="P14" i="13" s="1"/>
  <c r="P15" i="13" s="1"/>
  <c r="P16" i="13" s="1"/>
  <c r="P17" i="13" s="1"/>
  <c r="P18" i="13" s="1"/>
  <c r="P19" i="13" s="1"/>
  <c r="P20" i="13" s="1"/>
  <c r="P21" i="13" s="1"/>
  <c r="P22" i="13" s="1"/>
  <c r="P23" i="13" s="1"/>
  <c r="M9" i="13"/>
  <c r="M10" i="13" s="1"/>
  <c r="M11" i="13" s="1"/>
  <c r="M12" i="13" s="1"/>
  <c r="M13" i="13" s="1"/>
  <c r="M14" i="13" s="1"/>
  <c r="M15" i="13" s="1"/>
  <c r="M16" i="13" s="1"/>
  <c r="M17" i="13" s="1"/>
  <c r="M18" i="13" s="1"/>
  <c r="M19" i="13" s="1"/>
  <c r="M20" i="13" s="1"/>
  <c r="M21" i="13" s="1"/>
  <c r="M22" i="13" s="1"/>
  <c r="M23" i="13" s="1"/>
  <c r="R9" i="13"/>
  <c r="R10" i="13" s="1"/>
  <c r="R11" i="13" s="1"/>
  <c r="R12" i="13" s="1"/>
  <c r="R13" i="13" s="1"/>
  <c r="R14" i="13" s="1"/>
  <c r="R15" i="13" s="1"/>
  <c r="R16" i="13" s="1"/>
  <c r="R17" i="13" s="1"/>
  <c r="R18" i="13" s="1"/>
  <c r="R19" i="13" s="1"/>
  <c r="R20" i="13" s="1"/>
  <c r="R21" i="13" s="1"/>
  <c r="R22" i="13" s="1"/>
  <c r="R23" i="13" s="1"/>
  <c r="O9" i="13"/>
  <c r="O10" i="13" s="1"/>
  <c r="O11" i="13" s="1"/>
  <c r="O12" i="13" s="1"/>
  <c r="O13" i="13" s="1"/>
  <c r="O14" i="13" s="1"/>
  <c r="O15" i="13" s="1"/>
  <c r="O16" i="13" s="1"/>
  <c r="O17" i="13" s="1"/>
  <c r="O18" i="13" s="1"/>
  <c r="O19" i="13" s="1"/>
  <c r="O20" i="13" s="1"/>
  <c r="O21" i="13" s="1"/>
  <c r="O22" i="13" s="1"/>
  <c r="O23" i="13" s="1"/>
  <c r="N9" i="13"/>
  <c r="S9" i="13"/>
  <c r="S10" i="13" s="1"/>
  <c r="S11" i="13" s="1"/>
  <c r="S12" i="13" s="1"/>
  <c r="S13" i="13" s="1"/>
  <c r="S14" i="13" s="1"/>
  <c r="S15" i="13" s="1"/>
  <c r="S16" i="13" s="1"/>
  <c r="S17" i="13" s="1"/>
  <c r="S18" i="13" s="1"/>
  <c r="S19" i="13" s="1"/>
  <c r="S20" i="13" s="1"/>
  <c r="S21" i="13" s="1"/>
  <c r="S22" i="13" s="1"/>
  <c r="S23" i="13" s="1"/>
  <c r="I29" i="13"/>
  <c r="I30" i="13" s="1"/>
  <c r="I31" i="13" s="1"/>
  <c r="I32" i="13" s="1"/>
  <c r="I33" i="13" s="1"/>
  <c r="I34" i="13" s="1"/>
  <c r="I35" i="13" s="1"/>
  <c r="I36" i="13" s="1"/>
  <c r="I37" i="13" s="1"/>
  <c r="I38" i="13" s="1"/>
  <c r="I39" i="13" s="1"/>
  <c r="I40" i="13" s="1"/>
  <c r="I41" i="13" s="1"/>
  <c r="I42" i="13" s="1"/>
  <c r="I43" i="13" s="1"/>
  <c r="I44" i="13" s="1"/>
  <c r="I45" i="13" s="1"/>
  <c r="I46" i="13" s="1"/>
  <c r="I47" i="13" s="1"/>
  <c r="F29" i="13"/>
  <c r="E29" i="13"/>
  <c r="E30" i="13" s="1"/>
  <c r="E31" i="13" s="1"/>
  <c r="E32" i="13" s="1"/>
  <c r="E33" i="13" s="1"/>
  <c r="E34" i="13" s="1"/>
  <c r="E35" i="13" s="1"/>
  <c r="E36" i="13" s="1"/>
  <c r="E37" i="13" s="1"/>
  <c r="E38" i="13" s="1"/>
  <c r="E39" i="13" s="1"/>
  <c r="E40" i="13" s="1"/>
  <c r="E41" i="13" s="1"/>
  <c r="E42" i="13" s="1"/>
  <c r="E43" i="13" s="1"/>
  <c r="E44" i="13" s="1"/>
  <c r="E45" i="13" s="1"/>
  <c r="E46" i="13" s="1"/>
  <c r="E47" i="13" s="1"/>
  <c r="K29" i="13"/>
  <c r="K30" i="13" s="1"/>
  <c r="K31" i="13" s="1"/>
  <c r="K32" i="13" s="1"/>
  <c r="K33" i="13" s="1"/>
  <c r="K34" i="13" s="1"/>
  <c r="K35" i="13" s="1"/>
  <c r="K36" i="13" s="1"/>
  <c r="K37" i="13" s="1"/>
  <c r="K38" i="13" s="1"/>
  <c r="K39" i="13" s="1"/>
  <c r="K40" i="13" s="1"/>
  <c r="K41" i="13" s="1"/>
  <c r="K42" i="13" s="1"/>
  <c r="K43" i="13" s="1"/>
  <c r="K44" i="13" s="1"/>
  <c r="K45" i="13" s="1"/>
  <c r="K46" i="13" s="1"/>
  <c r="K47" i="13" s="1"/>
  <c r="J29" i="13"/>
  <c r="J30" i="13" s="1"/>
  <c r="J31" i="13" s="1"/>
  <c r="J32" i="13" s="1"/>
  <c r="J33" i="13" s="1"/>
  <c r="J34" i="13" s="1"/>
  <c r="J35" i="13" s="1"/>
  <c r="J36" i="13" s="1"/>
  <c r="J37" i="13" s="1"/>
  <c r="J38" i="13" s="1"/>
  <c r="J39" i="13" s="1"/>
  <c r="J40" i="13" s="1"/>
  <c r="J41" i="13" s="1"/>
  <c r="J42" i="13" s="1"/>
  <c r="J43" i="13" s="1"/>
  <c r="J44" i="13" s="1"/>
  <c r="J45" i="13" s="1"/>
  <c r="J46" i="13" s="1"/>
  <c r="J47" i="13" s="1"/>
  <c r="H29" i="13"/>
  <c r="H30" i="13" s="1"/>
  <c r="H31" i="13" s="1"/>
  <c r="H32" i="13" s="1"/>
  <c r="H33" i="13" s="1"/>
  <c r="H34" i="13" s="1"/>
  <c r="H35" i="13" s="1"/>
  <c r="H36" i="13" s="1"/>
  <c r="H37" i="13" s="1"/>
  <c r="H38" i="13" s="1"/>
  <c r="H39" i="13" s="1"/>
  <c r="H40" i="13" s="1"/>
  <c r="H41" i="13" s="1"/>
  <c r="H42" i="13" s="1"/>
  <c r="H43" i="13" s="1"/>
  <c r="H44" i="13" s="1"/>
  <c r="H45" i="13" s="1"/>
  <c r="H46" i="13" s="1"/>
  <c r="H47" i="13" s="1"/>
  <c r="G29" i="13"/>
  <c r="G30" i="13" s="1"/>
  <c r="G31" i="13" s="1"/>
  <c r="G32" i="13" s="1"/>
  <c r="G33" i="13" s="1"/>
  <c r="G34" i="13" s="1"/>
  <c r="G35" i="13" s="1"/>
  <c r="G36" i="13" s="1"/>
  <c r="G37" i="13" s="1"/>
  <c r="G38" i="13" s="1"/>
  <c r="G39" i="13" s="1"/>
  <c r="G40" i="13" s="1"/>
  <c r="G41" i="13" s="1"/>
  <c r="G42" i="13" s="1"/>
  <c r="G43" i="13" s="1"/>
  <c r="G44" i="13" s="1"/>
  <c r="G45" i="13" s="1"/>
  <c r="G46" i="13" s="1"/>
  <c r="G47" i="13" s="1"/>
  <c r="H5" i="13"/>
  <c r="H6" i="13" s="1"/>
  <c r="H7" i="13" s="1"/>
  <c r="H8" i="13" s="1"/>
  <c r="H9" i="13" s="1"/>
  <c r="H10" i="13" s="1"/>
  <c r="H11" i="13" s="1"/>
  <c r="H12" i="13" s="1"/>
  <c r="H13" i="13" s="1"/>
  <c r="H14" i="13" s="1"/>
  <c r="H15" i="13" s="1"/>
  <c r="H16" i="13" s="1"/>
  <c r="H17" i="13" s="1"/>
  <c r="H18" i="13" s="1"/>
  <c r="H19" i="13" s="1"/>
  <c r="H20" i="13" s="1"/>
  <c r="H21" i="13" s="1"/>
  <c r="H22" i="13" s="1"/>
  <c r="H23" i="13" s="1"/>
  <c r="G5" i="13"/>
  <c r="G6" i="13" s="1"/>
  <c r="G7" i="13" s="1"/>
  <c r="G8" i="13" s="1"/>
  <c r="G9" i="13" s="1"/>
  <c r="G10" i="13" s="1"/>
  <c r="G11" i="13" s="1"/>
  <c r="G12" i="13" s="1"/>
  <c r="G13" i="13" s="1"/>
  <c r="G14" i="13" s="1"/>
  <c r="G15" i="13" s="1"/>
  <c r="G16" i="13" s="1"/>
  <c r="G17" i="13" s="1"/>
  <c r="G18" i="13" s="1"/>
  <c r="G19" i="13" s="1"/>
  <c r="G20" i="13" s="1"/>
  <c r="G21" i="13" s="1"/>
  <c r="G22" i="13" s="1"/>
  <c r="G23" i="13" s="1"/>
  <c r="F5" i="13"/>
  <c r="K5" i="13"/>
  <c r="K6" i="13" s="1"/>
  <c r="K7" i="13" s="1"/>
  <c r="K8" i="13" s="1"/>
  <c r="K9" i="13" s="1"/>
  <c r="K10" i="13" s="1"/>
  <c r="K11" i="13" s="1"/>
  <c r="K12" i="13" s="1"/>
  <c r="K13" i="13" s="1"/>
  <c r="K14" i="13" s="1"/>
  <c r="K15" i="13" s="1"/>
  <c r="K16" i="13" s="1"/>
  <c r="K17" i="13" s="1"/>
  <c r="K18" i="13" s="1"/>
  <c r="K19" i="13" s="1"/>
  <c r="K20" i="13" s="1"/>
  <c r="K21" i="13" s="1"/>
  <c r="K22" i="13" s="1"/>
  <c r="K23" i="13" s="1"/>
  <c r="I5" i="13"/>
  <c r="I6" i="13" s="1"/>
  <c r="I7" i="13" s="1"/>
  <c r="I8" i="13" s="1"/>
  <c r="I9" i="13" s="1"/>
  <c r="I10" i="13" s="1"/>
  <c r="I11" i="13" s="1"/>
  <c r="I12" i="13" s="1"/>
  <c r="I13" i="13" s="1"/>
  <c r="I14" i="13" s="1"/>
  <c r="I15" i="13" s="1"/>
  <c r="I16" i="13" s="1"/>
  <c r="I17" i="13" s="1"/>
  <c r="I18" i="13" s="1"/>
  <c r="I19" i="13" s="1"/>
  <c r="I20" i="13" s="1"/>
  <c r="I21" i="13" s="1"/>
  <c r="I22" i="13" s="1"/>
  <c r="I23" i="13" s="1"/>
  <c r="J5" i="13"/>
  <c r="J6" i="13" s="1"/>
  <c r="J7" i="13" s="1"/>
  <c r="J8" i="13" s="1"/>
  <c r="J9" i="13" s="1"/>
  <c r="J10" i="13" s="1"/>
  <c r="J11" i="13" s="1"/>
  <c r="J12" i="13" s="1"/>
  <c r="J13" i="13" s="1"/>
  <c r="J14" i="13" s="1"/>
  <c r="J15" i="13" s="1"/>
  <c r="J16" i="13" s="1"/>
  <c r="J17" i="13" s="1"/>
  <c r="J18" i="13" s="1"/>
  <c r="J19" i="13" s="1"/>
  <c r="J20" i="13" s="1"/>
  <c r="J21" i="13" s="1"/>
  <c r="J22" i="13" s="1"/>
  <c r="J23" i="13" s="1"/>
  <c r="E5" i="13"/>
  <c r="E6" i="13" s="1"/>
  <c r="E7" i="13" s="1"/>
  <c r="E8" i="13" s="1"/>
  <c r="E9" i="13" s="1"/>
  <c r="E10" i="13" s="1"/>
  <c r="E11" i="13" s="1"/>
  <c r="E12" i="13" s="1"/>
  <c r="E13" i="13" s="1"/>
  <c r="E14" i="13" s="1"/>
  <c r="E15" i="13" s="1"/>
  <c r="E16" i="13" s="1"/>
  <c r="E17" i="13" s="1"/>
  <c r="E18" i="13" s="1"/>
  <c r="E19" i="13" s="1"/>
  <c r="E20" i="13" s="1"/>
  <c r="E21" i="13" s="1"/>
  <c r="E22" i="13" s="1"/>
  <c r="E23" i="13" s="1"/>
  <c r="C29" i="17"/>
  <c r="B123" i="9"/>
  <c r="R8" i="14"/>
  <c r="Q8" i="14"/>
  <c r="Q9" i="14" s="1"/>
  <c r="Q10" i="14" s="1"/>
  <c r="Q11" i="14" s="1"/>
  <c r="Q12" i="14" s="1"/>
  <c r="Q13" i="14" s="1"/>
  <c r="Q14" i="14" s="1"/>
  <c r="Q15" i="14" s="1"/>
  <c r="Q16" i="14" s="1"/>
  <c r="Q17" i="14" s="1"/>
  <c r="Q18" i="14" s="1"/>
  <c r="Q19" i="14" s="1"/>
  <c r="Q20" i="14" s="1"/>
  <c r="Q21" i="14" s="1"/>
  <c r="Q22" i="14" s="1"/>
  <c r="Q23" i="14" s="1"/>
  <c r="Q24" i="14" s="1"/>
  <c r="Q25" i="14" s="1"/>
  <c r="Q26" i="14" s="1"/>
  <c r="Q27" i="14" s="1"/>
  <c r="Q28" i="14" s="1"/>
  <c r="Q29" i="14" s="1"/>
  <c r="Q30" i="14" s="1"/>
  <c r="Q31" i="14" s="1"/>
  <c r="Q32" i="14" s="1"/>
  <c r="Q33" i="14" s="1"/>
  <c r="Q34" i="14" s="1"/>
  <c r="Q35" i="14" s="1"/>
  <c r="Q36" i="14" s="1"/>
  <c r="Q37" i="14" s="1"/>
  <c r="C201" i="16"/>
  <c r="C197" i="16"/>
  <c r="C113" i="16"/>
  <c r="C109" i="16"/>
  <c r="C45" i="16"/>
  <c r="C41" i="16"/>
  <c r="B163" i="9"/>
  <c r="B155" i="9"/>
  <c r="C105" i="16"/>
  <c r="C189" i="16"/>
  <c r="C13" i="16"/>
  <c r="C185" i="16"/>
  <c r="C93" i="16"/>
  <c r="C157" i="16"/>
  <c r="C241" i="16"/>
  <c r="C65" i="16"/>
  <c r="B243" i="9"/>
  <c r="C237" i="16"/>
  <c r="C61" i="16"/>
  <c r="C233" i="16"/>
  <c r="B187" i="9"/>
  <c r="B51" i="9"/>
  <c r="C193" i="16"/>
  <c r="C17" i="16"/>
  <c r="B147" i="9"/>
  <c r="C257" i="16"/>
  <c r="C101" i="16"/>
  <c r="B139" i="9"/>
  <c r="C249" i="16"/>
  <c r="C161" i="16"/>
  <c r="B259" i="9"/>
  <c r="B83" i="9"/>
  <c r="C245" i="16"/>
  <c r="C149" i="16"/>
  <c r="B235" i="9"/>
  <c r="B59" i="9"/>
  <c r="C57" i="16"/>
  <c r="C209" i="16"/>
  <c r="C141" i="16"/>
  <c r="C53" i="16"/>
  <c r="B179" i="9"/>
  <c r="B43" i="9"/>
  <c r="C253" i="16"/>
  <c r="C97" i="16"/>
  <c r="B3" i="9"/>
  <c r="B91" i="9"/>
  <c r="C89" i="16"/>
  <c r="B251" i="9"/>
  <c r="B75" i="9"/>
  <c r="C153" i="16"/>
  <c r="B67" i="9"/>
  <c r="C145" i="16"/>
  <c r="C205" i="16"/>
  <c r="C137" i="16"/>
  <c r="C49" i="16"/>
  <c r="B171" i="9"/>
  <c r="C229" i="16"/>
  <c r="C133" i="16"/>
  <c r="C37" i="16"/>
  <c r="C5" i="22"/>
  <c r="C6" i="22" s="1"/>
  <c r="C7" i="22" s="1"/>
  <c r="C8" i="22" s="1"/>
  <c r="C9" i="22" s="1"/>
  <c r="C10" i="22" s="1"/>
  <c r="C11" i="22" s="1"/>
  <c r="C12" i="22" s="1"/>
  <c r="C13" i="22" s="1"/>
  <c r="C14" i="22" s="1"/>
  <c r="C15" i="22" s="1"/>
  <c r="C16" i="22" s="1"/>
  <c r="C17" i="22" s="1"/>
  <c r="C18" i="22" s="1"/>
  <c r="C19" i="22" s="1"/>
  <c r="C20" i="22" s="1"/>
  <c r="C21" i="22" s="1"/>
  <c r="C22" i="22" s="1"/>
  <c r="C23" i="22" s="1"/>
  <c r="C24" i="22" s="1"/>
  <c r="B59" i="30"/>
  <c r="B60" i="30" s="1"/>
  <c r="B61" i="30" s="1"/>
  <c r="B32" i="30"/>
  <c r="B33" i="30" s="1"/>
  <c r="B113" i="30"/>
  <c r="B114" i="30" s="1"/>
  <c r="B115" i="30" s="1"/>
  <c r="B116" i="30" s="1"/>
  <c r="B117" i="30" s="1"/>
  <c r="B86" i="30"/>
  <c r="B87" i="30" s="1"/>
  <c r="B88" i="30" s="1"/>
  <c r="B89" i="30" s="1"/>
  <c r="B86" i="3"/>
  <c r="B87" i="3" s="1"/>
  <c r="B88" i="3" s="1"/>
  <c r="B89" i="3" s="1"/>
  <c r="B90" i="3" s="1"/>
  <c r="B91" i="3" s="1"/>
  <c r="B92" i="3" s="1"/>
  <c r="B93" i="3" s="1"/>
  <c r="B94" i="3" s="1"/>
  <c r="B95" i="3" s="1"/>
  <c r="B96" i="3" s="1"/>
  <c r="B97" i="3" s="1"/>
  <c r="B98" i="3" s="1"/>
  <c r="B99" i="3" s="1"/>
  <c r="B100" i="3" s="1"/>
  <c r="B101" i="3" s="1"/>
  <c r="B102" i="3" s="1"/>
  <c r="B103" i="3" s="1"/>
  <c r="B104" i="3" s="1"/>
  <c r="B105" i="3" s="1"/>
  <c r="B113" i="3"/>
  <c r="B114" i="3" s="1"/>
  <c r="B115" i="3" s="1"/>
  <c r="B116" i="3" s="1"/>
  <c r="B117" i="3" s="1"/>
  <c r="B118" i="3" s="1"/>
  <c r="B119" i="3" s="1"/>
  <c r="B120" i="3" s="1"/>
  <c r="B121" i="3" s="1"/>
  <c r="B122" i="3" s="1"/>
  <c r="B123" i="3" s="1"/>
  <c r="B124" i="3" s="1"/>
  <c r="B125" i="3" s="1"/>
  <c r="B126" i="3" s="1"/>
  <c r="B127" i="3" s="1"/>
  <c r="B128" i="3" s="1"/>
  <c r="B129" i="3" s="1"/>
  <c r="B130" i="3" s="1"/>
  <c r="B131" i="3" s="1"/>
  <c r="B132" i="3" s="1"/>
  <c r="B32" i="3"/>
  <c r="B33" i="3" s="1"/>
  <c r="B34" i="3" s="1"/>
  <c r="B35" i="3" s="1"/>
  <c r="B36" i="3" s="1"/>
  <c r="B37" i="3" s="1"/>
  <c r="B38" i="3" s="1"/>
  <c r="B39" i="3" s="1"/>
  <c r="B40" i="3" s="1"/>
  <c r="B41" i="3" s="1"/>
  <c r="B42" i="3" s="1"/>
  <c r="B43" i="3" s="1"/>
  <c r="B44" i="3" s="1"/>
  <c r="B45" i="3" s="1"/>
  <c r="B46" i="3" s="1"/>
  <c r="B47" i="3" s="1"/>
  <c r="B48" i="3" s="1"/>
  <c r="B49" i="3" s="1"/>
  <c r="B50" i="3" s="1"/>
  <c r="B51" i="3" s="1"/>
  <c r="B59" i="3"/>
  <c r="B60" i="3" s="1"/>
  <c r="B61" i="3" s="1"/>
  <c r="B62" i="3" s="1"/>
  <c r="B63" i="3" s="1"/>
  <c r="B64" i="3" s="1"/>
  <c r="B65" i="3" s="1"/>
  <c r="B66" i="3" s="1"/>
  <c r="B67" i="3" s="1"/>
  <c r="B68" i="3" s="1"/>
  <c r="B69" i="3" s="1"/>
  <c r="B70" i="3" s="1"/>
  <c r="B71" i="3" s="1"/>
  <c r="B72" i="3" s="1"/>
  <c r="B73" i="3" s="1"/>
  <c r="B74" i="3" s="1"/>
  <c r="B75" i="3" s="1"/>
  <c r="B76" i="3" s="1"/>
  <c r="B77" i="3" s="1"/>
  <c r="B78" i="3" s="1"/>
  <c r="C181" i="16"/>
  <c r="C85" i="16"/>
  <c r="B227" i="9"/>
  <c r="B131" i="9"/>
  <c r="B35" i="9"/>
  <c r="C269" i="16"/>
  <c r="C221" i="16"/>
  <c r="C173" i="16"/>
  <c r="C125" i="16"/>
  <c r="C77" i="16"/>
  <c r="C29" i="16"/>
  <c r="B211" i="9"/>
  <c r="B115" i="9"/>
  <c r="B19" i="9"/>
  <c r="C81" i="16"/>
  <c r="I3" i="5"/>
  <c r="C265" i="16"/>
  <c r="C217" i="16"/>
  <c r="C169" i="16"/>
  <c r="C121" i="16"/>
  <c r="C73" i="16"/>
  <c r="C25" i="16"/>
  <c r="B203" i="9"/>
  <c r="B107" i="9"/>
  <c r="B11" i="9"/>
  <c r="C9" i="16"/>
  <c r="C225" i="16"/>
  <c r="C177" i="16"/>
  <c r="C129" i="16"/>
  <c r="C33" i="16"/>
  <c r="B219" i="9"/>
  <c r="B27" i="9"/>
  <c r="C261" i="16"/>
  <c r="C213" i="16"/>
  <c r="C165" i="16"/>
  <c r="C117" i="16"/>
  <c r="C69" i="16"/>
  <c r="C21" i="16"/>
  <c r="B195" i="9"/>
  <c r="B99" i="9"/>
  <c r="C268" i="16"/>
  <c r="C260" i="16"/>
  <c r="C252" i="16"/>
  <c r="C244" i="16"/>
  <c r="C236" i="16"/>
  <c r="C228" i="16"/>
  <c r="C220" i="16"/>
  <c r="C212" i="16"/>
  <c r="C204" i="16"/>
  <c r="C196" i="16"/>
  <c r="C188" i="16"/>
  <c r="C180" i="16"/>
  <c r="C172" i="16"/>
  <c r="C164" i="16"/>
  <c r="C156" i="16"/>
  <c r="C148" i="16"/>
  <c r="C140" i="16"/>
  <c r="C132" i="16"/>
  <c r="C124" i="16"/>
  <c r="C116" i="16"/>
  <c r="C108" i="16"/>
  <c r="C100" i="16"/>
  <c r="C92" i="16"/>
  <c r="C84" i="16"/>
  <c r="C76" i="16"/>
  <c r="C68" i="16"/>
  <c r="C60" i="16"/>
  <c r="C52" i="16"/>
  <c r="C44" i="16"/>
  <c r="C36" i="16"/>
  <c r="C28" i="16"/>
  <c r="C20" i="16"/>
  <c r="C12" i="16"/>
  <c r="B262" i="9"/>
  <c r="B254" i="9"/>
  <c r="B246" i="9"/>
  <c r="B238" i="9"/>
  <c r="B230" i="9"/>
  <c r="B222" i="9"/>
  <c r="B214" i="9"/>
  <c r="B206" i="9"/>
  <c r="B198" i="9"/>
  <c r="B190" i="9"/>
  <c r="B182" i="9"/>
  <c r="B174" i="9"/>
  <c r="B166" i="9"/>
  <c r="B158" i="9"/>
  <c r="B150" i="9"/>
  <c r="B142" i="9"/>
  <c r="B134" i="9"/>
  <c r="B126" i="9"/>
  <c r="B118" i="9"/>
  <c r="B110" i="9"/>
  <c r="B102" i="9"/>
  <c r="B94" i="9"/>
  <c r="B86" i="9"/>
  <c r="B78" i="9"/>
  <c r="B70" i="9"/>
  <c r="B62" i="9"/>
  <c r="B54" i="9"/>
  <c r="B46" i="9"/>
  <c r="B38" i="9"/>
  <c r="B30" i="9"/>
  <c r="B22" i="9"/>
  <c r="B14" i="9"/>
  <c r="B6" i="9"/>
  <c r="C267" i="16"/>
  <c r="C259" i="16"/>
  <c r="C251" i="16"/>
  <c r="C243" i="16"/>
  <c r="C235" i="16"/>
  <c r="C227" i="16"/>
  <c r="C219" i="16"/>
  <c r="C211" i="16"/>
  <c r="C203" i="16"/>
  <c r="C195" i="16"/>
  <c r="C187" i="16"/>
  <c r="C179" i="16"/>
  <c r="C171" i="16"/>
  <c r="C163" i="16"/>
  <c r="C155" i="16"/>
  <c r="C147" i="16"/>
  <c r="C139" i="16"/>
  <c r="C131" i="16"/>
  <c r="C123" i="16"/>
  <c r="C115" i="16"/>
  <c r="C107" i="16"/>
  <c r="C99" i="16"/>
  <c r="C91" i="16"/>
  <c r="C83" i="16"/>
  <c r="C75" i="16"/>
  <c r="C67" i="16"/>
  <c r="C59" i="16"/>
  <c r="C51" i="16"/>
  <c r="C43" i="16"/>
  <c r="C35" i="16"/>
  <c r="C27" i="16"/>
  <c r="C19" i="16"/>
  <c r="C11" i="16"/>
  <c r="B261" i="9"/>
  <c r="B253" i="9"/>
  <c r="B245" i="9"/>
  <c r="B237" i="9"/>
  <c r="B229" i="9"/>
  <c r="B221" i="9"/>
  <c r="B213" i="9"/>
  <c r="B205" i="9"/>
  <c r="B197" i="9"/>
  <c r="B189" i="9"/>
  <c r="B181" i="9"/>
  <c r="B173" i="9"/>
  <c r="B165" i="9"/>
  <c r="B157" i="9"/>
  <c r="B149" i="9"/>
  <c r="B141" i="9"/>
  <c r="B133" i="9"/>
  <c r="B125" i="9"/>
  <c r="B117" i="9"/>
  <c r="B109" i="9"/>
  <c r="B101" i="9"/>
  <c r="B93" i="9"/>
  <c r="B85" i="9"/>
  <c r="B77" i="9"/>
  <c r="B69" i="9"/>
  <c r="B61" i="9"/>
  <c r="B53" i="9"/>
  <c r="B45" i="9"/>
  <c r="B37" i="9"/>
  <c r="B29" i="9"/>
  <c r="B21" i="9"/>
  <c r="B13" i="9"/>
  <c r="B5" i="9"/>
  <c r="C266" i="16"/>
  <c r="C258" i="16"/>
  <c r="C250" i="16"/>
  <c r="C242" i="16"/>
  <c r="C234" i="16"/>
  <c r="C226" i="16"/>
  <c r="C218" i="16"/>
  <c r="C210" i="16"/>
  <c r="C202" i="16"/>
  <c r="C194" i="16"/>
  <c r="C186" i="16"/>
  <c r="C178" i="16"/>
  <c r="C170" i="16"/>
  <c r="C162" i="16"/>
  <c r="C154" i="16"/>
  <c r="C146" i="16"/>
  <c r="C138" i="16"/>
  <c r="C130" i="16"/>
  <c r="C122" i="16"/>
  <c r="C114" i="16"/>
  <c r="C106" i="16"/>
  <c r="C98" i="16"/>
  <c r="C90" i="16"/>
  <c r="C82" i="16"/>
  <c r="C74" i="16"/>
  <c r="C66" i="16"/>
  <c r="C58" i="16"/>
  <c r="C50" i="16"/>
  <c r="C42" i="16"/>
  <c r="C34" i="16"/>
  <c r="C26" i="16"/>
  <c r="C18" i="16"/>
  <c r="C10" i="16"/>
  <c r="B260" i="9"/>
  <c r="B252" i="9"/>
  <c r="B244" i="9"/>
  <c r="B236" i="9"/>
  <c r="B228" i="9"/>
  <c r="B220" i="9"/>
  <c r="B212" i="9"/>
  <c r="B204" i="9"/>
  <c r="B196" i="9"/>
  <c r="B188" i="9"/>
  <c r="B180" i="9"/>
  <c r="B172" i="9"/>
  <c r="B164" i="9"/>
  <c r="B156" i="9"/>
  <c r="B148" i="9"/>
  <c r="B140" i="9"/>
  <c r="B132" i="9"/>
  <c r="B124" i="9"/>
  <c r="B116" i="9"/>
  <c r="B108" i="9"/>
  <c r="B100" i="9"/>
  <c r="B92" i="9"/>
  <c r="B84" i="9"/>
  <c r="B76" i="9"/>
  <c r="B68" i="9"/>
  <c r="B60" i="9"/>
  <c r="B52" i="9"/>
  <c r="B44" i="9"/>
  <c r="B36" i="9"/>
  <c r="B28" i="9"/>
  <c r="B20" i="9"/>
  <c r="B12" i="9"/>
  <c r="B4" i="9"/>
  <c r="C272" i="16"/>
  <c r="C264" i="16"/>
  <c r="C256" i="16"/>
  <c r="C248" i="16"/>
  <c r="C240" i="16"/>
  <c r="C232" i="16"/>
  <c r="C224" i="16"/>
  <c r="C216" i="16"/>
  <c r="C208" i="16"/>
  <c r="C200" i="16"/>
  <c r="C192" i="16"/>
  <c r="C184" i="16"/>
  <c r="C176" i="16"/>
  <c r="C168" i="16"/>
  <c r="C160" i="16"/>
  <c r="C152" i="16"/>
  <c r="C144" i="16"/>
  <c r="C136" i="16"/>
  <c r="C128" i="16"/>
  <c r="C120" i="16"/>
  <c r="C112" i="16"/>
  <c r="C104" i="16"/>
  <c r="C96" i="16"/>
  <c r="C88" i="16"/>
  <c r="C80" i="16"/>
  <c r="C72" i="16"/>
  <c r="C64" i="16"/>
  <c r="C56" i="16"/>
  <c r="C48" i="16"/>
  <c r="C40" i="16"/>
  <c r="C32" i="16"/>
  <c r="C24" i="16"/>
  <c r="C16" i="16"/>
  <c r="B266" i="9"/>
  <c r="B258" i="9"/>
  <c r="B250" i="9"/>
  <c r="B242" i="9"/>
  <c r="B234" i="9"/>
  <c r="B226" i="9"/>
  <c r="B218" i="9"/>
  <c r="B210" i="9"/>
  <c r="B202" i="9"/>
  <c r="B194" i="9"/>
  <c r="B186" i="9"/>
  <c r="B178" i="9"/>
  <c r="B170" i="9"/>
  <c r="B162" i="9"/>
  <c r="B154" i="9"/>
  <c r="B146" i="9"/>
  <c r="B138" i="9"/>
  <c r="B130" i="9"/>
  <c r="B122" i="9"/>
  <c r="B114" i="9"/>
  <c r="B106" i="9"/>
  <c r="B98" i="9"/>
  <c r="B90" i="9"/>
  <c r="B82" i="9"/>
  <c r="B74" i="9"/>
  <c r="B66" i="9"/>
  <c r="B58" i="9"/>
  <c r="B50" i="9"/>
  <c r="B42" i="9"/>
  <c r="B34" i="9"/>
  <c r="B26" i="9"/>
  <c r="B18" i="9"/>
  <c r="B10" i="9"/>
  <c r="C271" i="16"/>
  <c r="C263" i="16"/>
  <c r="C255" i="16"/>
  <c r="C247" i="16"/>
  <c r="C239" i="16"/>
  <c r="C231" i="16"/>
  <c r="C223" i="16"/>
  <c r="C215" i="16"/>
  <c r="C207" i="16"/>
  <c r="C199" i="16"/>
  <c r="C191" i="16"/>
  <c r="C183" i="16"/>
  <c r="C175" i="16"/>
  <c r="C167" i="16"/>
  <c r="C159" i="16"/>
  <c r="C151" i="16"/>
  <c r="C143" i="16"/>
  <c r="C135" i="16"/>
  <c r="C127" i="16"/>
  <c r="C119" i="16"/>
  <c r="C111" i="16"/>
  <c r="C103" i="16"/>
  <c r="C95" i="16"/>
  <c r="C87" i="16"/>
  <c r="C79" i="16"/>
  <c r="C71" i="16"/>
  <c r="C63" i="16"/>
  <c r="C55" i="16"/>
  <c r="C47" i="16"/>
  <c r="C39" i="16"/>
  <c r="C31" i="16"/>
  <c r="C23" i="16"/>
  <c r="C15" i="16"/>
  <c r="B265" i="9"/>
  <c r="B257" i="9"/>
  <c r="B249" i="9"/>
  <c r="B241" i="9"/>
  <c r="B233" i="9"/>
  <c r="B225" i="9"/>
  <c r="B217" i="9"/>
  <c r="B209" i="9"/>
  <c r="B201" i="9"/>
  <c r="B193" i="9"/>
  <c r="B185" i="9"/>
  <c r="B177" i="9"/>
  <c r="B169" i="9"/>
  <c r="B161" i="9"/>
  <c r="B153" i="9"/>
  <c r="B145" i="9"/>
  <c r="B137" i="9"/>
  <c r="B129" i="9"/>
  <c r="B121" i="9"/>
  <c r="B113" i="9"/>
  <c r="B105" i="9"/>
  <c r="B97" i="9"/>
  <c r="B89" i="9"/>
  <c r="B81" i="9"/>
  <c r="B73" i="9"/>
  <c r="B65" i="9"/>
  <c r="B57" i="9"/>
  <c r="B49" i="9"/>
  <c r="B41" i="9"/>
  <c r="B33" i="9"/>
  <c r="B25" i="9"/>
  <c r="B17" i="9"/>
  <c r="B9" i="9"/>
  <c r="C270" i="16"/>
  <c r="C262" i="16"/>
  <c r="C254" i="16"/>
  <c r="C246" i="16"/>
  <c r="C238" i="16"/>
  <c r="C230" i="16"/>
  <c r="C222" i="16"/>
  <c r="C214" i="16"/>
  <c r="C206" i="16"/>
  <c r="C198" i="16"/>
  <c r="C190" i="16"/>
  <c r="C182" i="16"/>
  <c r="C174" i="16"/>
  <c r="C166" i="16"/>
  <c r="C158" i="16"/>
  <c r="C150" i="16"/>
  <c r="C142" i="16"/>
  <c r="C134" i="16"/>
  <c r="C126" i="16"/>
  <c r="C118" i="16"/>
  <c r="C110" i="16"/>
  <c r="C102" i="16"/>
  <c r="C94" i="16"/>
  <c r="C86" i="16"/>
  <c r="C78" i="16"/>
  <c r="C70" i="16"/>
  <c r="C62" i="16"/>
  <c r="C54" i="16"/>
  <c r="C46" i="16"/>
  <c r="C38" i="16"/>
  <c r="C30" i="16"/>
  <c r="C22" i="16"/>
  <c r="C14" i="16"/>
  <c r="B264" i="9"/>
  <c r="B256" i="9"/>
  <c r="B248" i="9"/>
  <c r="B240" i="9"/>
  <c r="B232" i="9"/>
  <c r="B224" i="9"/>
  <c r="B216" i="9"/>
  <c r="B208" i="9"/>
  <c r="B200" i="9"/>
  <c r="B192" i="9"/>
  <c r="B184" i="9"/>
  <c r="B176" i="9"/>
  <c r="B168" i="9"/>
  <c r="B160" i="9"/>
  <c r="B152" i="9"/>
  <c r="B144" i="9"/>
  <c r="B136" i="9"/>
  <c r="B128" i="9"/>
  <c r="B120" i="9"/>
  <c r="B112" i="9"/>
  <c r="B104" i="9"/>
  <c r="B96" i="9"/>
  <c r="B88" i="9"/>
  <c r="B80" i="9"/>
  <c r="B72" i="9"/>
  <c r="B64" i="9"/>
  <c r="B56" i="9"/>
  <c r="B48" i="9"/>
  <c r="B40" i="9"/>
  <c r="B32" i="9"/>
  <c r="B24" i="9"/>
  <c r="B16" i="9"/>
  <c r="B8" i="9"/>
  <c r="B263" i="9"/>
  <c r="B255" i="9"/>
  <c r="B247" i="9"/>
  <c r="B239" i="9"/>
  <c r="B231" i="9"/>
  <c r="B223" i="9"/>
  <c r="B215" i="9"/>
  <c r="B207" i="9"/>
  <c r="B199" i="9"/>
  <c r="B191" i="9"/>
  <c r="B183" i="9"/>
  <c r="B175" i="9"/>
  <c r="B167" i="9"/>
  <c r="B159" i="9"/>
  <c r="B151" i="9"/>
  <c r="B143" i="9"/>
  <c r="B135" i="9"/>
  <c r="B127" i="9"/>
  <c r="B119" i="9"/>
  <c r="B111" i="9"/>
  <c r="B103" i="9"/>
  <c r="B95" i="9"/>
  <c r="B87" i="9"/>
  <c r="B79" i="9"/>
  <c r="B71" i="9"/>
  <c r="B63" i="9"/>
  <c r="B55" i="9"/>
  <c r="B47" i="9"/>
  <c r="B39" i="9"/>
  <c r="B31" i="9"/>
  <c r="B23" i="9"/>
  <c r="B15" i="9"/>
  <c r="B7" i="9"/>
  <c r="C30" i="17"/>
  <c r="L33" i="30" l="1"/>
  <c r="F6" i="13"/>
  <c r="K7" i="30" s="1"/>
  <c r="N34" i="13"/>
  <c r="F30" i="13"/>
  <c r="L7" i="30" s="1"/>
  <c r="N10" i="13"/>
  <c r="N10" i="30"/>
  <c r="K33" i="30"/>
  <c r="S34" i="13"/>
  <c r="N118" i="30"/>
  <c r="N37" i="30"/>
  <c r="N64" i="3"/>
  <c r="N118" i="3"/>
  <c r="N91" i="30"/>
  <c r="N64" i="30"/>
  <c r="N91" i="3"/>
  <c r="N37" i="3"/>
  <c r="K6" i="30"/>
  <c r="M118" i="30"/>
  <c r="M37" i="30"/>
  <c r="M64" i="30"/>
  <c r="M10" i="30"/>
  <c r="M91" i="30"/>
  <c r="L6" i="30"/>
  <c r="R9" i="14"/>
  <c r="I15" i="5"/>
  <c r="B6" i="30"/>
  <c r="B90" i="30"/>
  <c r="B118" i="30"/>
  <c r="B34" i="30"/>
  <c r="B62" i="30"/>
  <c r="H3" i="5"/>
  <c r="H15" i="5" s="1"/>
  <c r="C31" i="17"/>
  <c r="N11" i="30" l="1"/>
  <c r="N11" i="13"/>
  <c r="M12" i="30" s="1"/>
  <c r="F31" i="13"/>
  <c r="L62" i="30" s="1"/>
  <c r="N35" i="13"/>
  <c r="F7" i="13"/>
  <c r="K8" i="30" s="1"/>
  <c r="S35" i="13"/>
  <c r="N119" i="30"/>
  <c r="N38" i="30"/>
  <c r="N65" i="3"/>
  <c r="N65" i="30"/>
  <c r="N92" i="3"/>
  <c r="N38" i="3"/>
  <c r="N119" i="3"/>
  <c r="N92" i="30"/>
  <c r="F15" i="9"/>
  <c r="H27" i="5"/>
  <c r="H39" i="5" s="1"/>
  <c r="H51" i="5" s="1"/>
  <c r="K61" i="30"/>
  <c r="K34" i="30"/>
  <c r="M92" i="30"/>
  <c r="M11" i="30"/>
  <c r="M38" i="30"/>
  <c r="M119" i="30"/>
  <c r="M65" i="30"/>
  <c r="N11" i="3"/>
  <c r="L61" i="30"/>
  <c r="L34" i="30"/>
  <c r="R10" i="14"/>
  <c r="B91" i="30"/>
  <c r="B119" i="30"/>
  <c r="B35" i="30"/>
  <c r="B63" i="30"/>
  <c r="B7" i="30"/>
  <c r="C32" i="17"/>
  <c r="M16" i="14"/>
  <c r="D9" i="14"/>
  <c r="D8" i="14"/>
  <c r="D7" i="14"/>
  <c r="M19" i="14"/>
  <c r="M18" i="14"/>
  <c r="M17" i="14"/>
  <c r="M15" i="14"/>
  <c r="M14" i="14"/>
  <c r="M13" i="14"/>
  <c r="M12" i="14"/>
  <c r="M11" i="14"/>
  <c r="M10" i="14"/>
  <c r="M9" i="14"/>
  <c r="M8" i="14"/>
  <c r="D29" i="13"/>
  <c r="D30" i="13" s="1"/>
  <c r="D31" i="13" s="1"/>
  <c r="D32" i="13" s="1"/>
  <c r="D33" i="13" s="1"/>
  <c r="D34" i="13" s="1"/>
  <c r="D35" i="13" s="1"/>
  <c r="D36" i="13" s="1"/>
  <c r="D37" i="13" s="1"/>
  <c r="D38" i="13" s="1"/>
  <c r="D39" i="13" s="1"/>
  <c r="D40" i="13" s="1"/>
  <c r="D41" i="13" s="1"/>
  <c r="D42" i="13" s="1"/>
  <c r="D43" i="13" s="1"/>
  <c r="D44" i="13" s="1"/>
  <c r="D45" i="13" s="1"/>
  <c r="D46" i="13" s="1"/>
  <c r="D47" i="13" s="1"/>
  <c r="C29" i="13"/>
  <c r="C30" i="13" s="1"/>
  <c r="C31" i="13" s="1"/>
  <c r="C32" i="13" s="1"/>
  <c r="C33" i="13" s="1"/>
  <c r="C34" i="13" s="1"/>
  <c r="C35" i="13" s="1"/>
  <c r="C36" i="13" s="1"/>
  <c r="C37" i="13" s="1"/>
  <c r="C38" i="13" s="1"/>
  <c r="C39" i="13" s="1"/>
  <c r="C40" i="13" s="1"/>
  <c r="C41" i="13" s="1"/>
  <c r="C42" i="13" s="1"/>
  <c r="C43" i="13" s="1"/>
  <c r="C44" i="13" s="1"/>
  <c r="C45" i="13" s="1"/>
  <c r="C46" i="13" s="1"/>
  <c r="C47" i="13" s="1"/>
  <c r="B29" i="13"/>
  <c r="N12" i="3" l="1"/>
  <c r="M39" i="30"/>
  <c r="M66" i="30"/>
  <c r="M120" i="30"/>
  <c r="M93" i="30"/>
  <c r="F8" i="13"/>
  <c r="K9" i="30" s="1"/>
  <c r="N36" i="13"/>
  <c r="F32" i="13"/>
  <c r="N12" i="13"/>
  <c r="M94" i="30" s="1"/>
  <c r="S36" i="13"/>
  <c r="N120" i="30"/>
  <c r="N39" i="30"/>
  <c r="N66" i="3"/>
  <c r="N39" i="3"/>
  <c r="N66" i="30"/>
  <c r="N93" i="3"/>
  <c r="N93" i="30"/>
  <c r="N120" i="3"/>
  <c r="K35" i="30"/>
  <c r="K89" i="30"/>
  <c r="K62" i="30"/>
  <c r="N12" i="30"/>
  <c r="L35" i="30"/>
  <c r="L8" i="30"/>
  <c r="L89" i="30"/>
  <c r="R11" i="14"/>
  <c r="B64" i="30"/>
  <c r="B120" i="30"/>
  <c r="B8" i="30"/>
  <c r="B36" i="30"/>
  <c r="B92" i="30"/>
  <c r="B30" i="13"/>
  <c r="B31" i="13" s="1"/>
  <c r="B32" i="13" s="1"/>
  <c r="B33" i="13" s="1"/>
  <c r="B34" i="13" s="1"/>
  <c r="B35" i="13" s="1"/>
  <c r="B36" i="13" s="1"/>
  <c r="B37" i="13" s="1"/>
  <c r="B38" i="13" s="1"/>
  <c r="B39" i="13" s="1"/>
  <c r="B40" i="13" s="1"/>
  <c r="B41" i="13" s="1"/>
  <c r="B42" i="13" s="1"/>
  <c r="B43" i="13" s="1"/>
  <c r="B44" i="13" s="1"/>
  <c r="B45" i="13" s="1"/>
  <c r="B46" i="13" s="1"/>
  <c r="B47" i="13" s="1"/>
  <c r="C33" i="17"/>
  <c r="B10" i="8"/>
  <c r="C10" i="8" s="1"/>
  <c r="B22" i="8"/>
  <c r="C22" i="8" s="1"/>
  <c r="B34" i="8"/>
  <c r="C34" i="8" s="1"/>
  <c r="B46" i="8"/>
  <c r="C46" i="8" s="1"/>
  <c r="B12" i="8"/>
  <c r="C12" i="8" s="1"/>
  <c r="B24" i="8"/>
  <c r="C24" i="8" s="1"/>
  <c r="B36" i="8"/>
  <c r="C36" i="8" s="1"/>
  <c r="B25" i="8"/>
  <c r="C25" i="8" s="1"/>
  <c r="B38" i="8"/>
  <c r="C38" i="8" s="1"/>
  <c r="B15" i="8"/>
  <c r="C15" i="8" s="1"/>
  <c r="B39" i="8"/>
  <c r="C39" i="8" s="1"/>
  <c r="B3" i="8"/>
  <c r="B16" i="8"/>
  <c r="C16" i="8" s="1"/>
  <c r="B40" i="8"/>
  <c r="C40" i="8" s="1"/>
  <c r="B17" i="8"/>
  <c r="C17" i="8" s="1"/>
  <c r="B41" i="8"/>
  <c r="C41" i="8" s="1"/>
  <c r="B6" i="8"/>
  <c r="C6" i="8" s="1"/>
  <c r="B30" i="8"/>
  <c r="C30" i="8" s="1"/>
  <c r="B7" i="8"/>
  <c r="C7" i="8" s="1"/>
  <c r="B43" i="8"/>
  <c r="C43" i="8" s="1"/>
  <c r="B20" i="8"/>
  <c r="C20" i="8" s="1"/>
  <c r="B44" i="8"/>
  <c r="C44" i="8" s="1"/>
  <c r="B21" i="8"/>
  <c r="C21" i="8" s="1"/>
  <c r="B45" i="8"/>
  <c r="C45" i="8" s="1"/>
  <c r="B11" i="8"/>
  <c r="C11" i="8" s="1"/>
  <c r="B23" i="8"/>
  <c r="C23" i="8" s="1"/>
  <c r="B35" i="8"/>
  <c r="C35" i="8" s="1"/>
  <c r="B47" i="8"/>
  <c r="C47" i="8" s="1"/>
  <c r="B48" i="8"/>
  <c r="C48" i="8" s="1"/>
  <c r="B13" i="8"/>
  <c r="C13" i="8" s="1"/>
  <c r="B37" i="8"/>
  <c r="C37" i="8" s="1"/>
  <c r="B49" i="8"/>
  <c r="C49" i="8" s="1"/>
  <c r="B14" i="8"/>
  <c r="C14" i="8" s="1"/>
  <c r="B26" i="8"/>
  <c r="C26" i="8" s="1"/>
  <c r="B50" i="8"/>
  <c r="C50" i="8" s="1"/>
  <c r="B27" i="8"/>
  <c r="C27" i="8" s="1"/>
  <c r="B4" i="8"/>
  <c r="C4" i="8" s="1"/>
  <c r="B28" i="8"/>
  <c r="C28" i="8" s="1"/>
  <c r="B5" i="8"/>
  <c r="C5" i="8" s="1"/>
  <c r="B29" i="8"/>
  <c r="C29" i="8" s="1"/>
  <c r="B18" i="8"/>
  <c r="C18" i="8" s="1"/>
  <c r="B42" i="8"/>
  <c r="C42" i="8" s="1"/>
  <c r="B19" i="8"/>
  <c r="C19" i="8" s="1"/>
  <c r="B31" i="8"/>
  <c r="C31" i="8" s="1"/>
  <c r="B8" i="8"/>
  <c r="C8" i="8" s="1"/>
  <c r="B32" i="8"/>
  <c r="C32" i="8" s="1"/>
  <c r="B9" i="8"/>
  <c r="C9" i="8" s="1"/>
  <c r="B33" i="8"/>
  <c r="C33" i="8" s="1"/>
  <c r="B28" i="17"/>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M121" i="30" l="1"/>
  <c r="M67" i="30"/>
  <c r="M40" i="30"/>
  <c r="M13" i="30"/>
  <c r="N13" i="13"/>
  <c r="M14" i="30" s="1"/>
  <c r="F33" i="13"/>
  <c r="L91" i="30" s="1"/>
  <c r="N37" i="13"/>
  <c r="F9" i="13"/>
  <c r="K37" i="30" s="1"/>
  <c r="S37" i="13"/>
  <c r="N40" i="30"/>
  <c r="N121" i="30"/>
  <c r="N40" i="3"/>
  <c r="N67" i="30"/>
  <c r="N94" i="3"/>
  <c r="N94" i="30"/>
  <c r="N121" i="3"/>
  <c r="N67" i="3"/>
  <c r="K63" i="30"/>
  <c r="K36" i="30"/>
  <c r="K90" i="30"/>
  <c r="K117" i="30"/>
  <c r="L9" i="30"/>
  <c r="L36" i="30"/>
  <c r="L63" i="30"/>
  <c r="L90" i="30"/>
  <c r="N13" i="30"/>
  <c r="L117" i="30"/>
  <c r="R12" i="14"/>
  <c r="B65" i="30"/>
  <c r="B93" i="30"/>
  <c r="B121" i="30"/>
  <c r="B37" i="30"/>
  <c r="B9" i="30"/>
  <c r="D3" i="8"/>
  <c r="C3" i="8"/>
  <c r="C34" i="17"/>
  <c r="D5" i="22" a="1"/>
  <c r="D5" i="22" s="1"/>
  <c r="AL21" i="17"/>
  <c r="AK21" i="17"/>
  <c r="AJ21" i="17"/>
  <c r="AL20" i="17"/>
  <c r="AK20" i="17"/>
  <c r="AJ20" i="17"/>
  <c r="AL19" i="17"/>
  <c r="AK19" i="17"/>
  <c r="AJ19" i="17"/>
  <c r="AL18" i="17"/>
  <c r="AK18" i="17"/>
  <c r="AJ18" i="17"/>
  <c r="AL17" i="17"/>
  <c r="AK17" i="17"/>
  <c r="AJ17" i="17"/>
  <c r="AL16" i="17"/>
  <c r="AK16" i="17"/>
  <c r="AJ16" i="17"/>
  <c r="AL15" i="17"/>
  <c r="AK15" i="17"/>
  <c r="H21" i="17"/>
  <c r="R21" i="17" s="1"/>
  <c r="G21" i="17"/>
  <c r="Q21" i="17" s="1"/>
  <c r="F21" i="17"/>
  <c r="P21" i="17" s="1"/>
  <c r="H20" i="17"/>
  <c r="R20" i="17" s="1"/>
  <c r="G20" i="17"/>
  <c r="Q20" i="17" s="1"/>
  <c r="F20" i="17"/>
  <c r="P20" i="17" s="1"/>
  <c r="H19" i="17"/>
  <c r="R19" i="17" s="1"/>
  <c r="G19" i="17"/>
  <c r="Q19" i="17" s="1"/>
  <c r="F19" i="17"/>
  <c r="P19" i="17" s="1"/>
  <c r="H18" i="17"/>
  <c r="R18" i="17" s="1"/>
  <c r="G18" i="17"/>
  <c r="Q18" i="17" s="1"/>
  <c r="F18" i="17"/>
  <c r="P18" i="17" s="1"/>
  <c r="H17" i="17"/>
  <c r="R17" i="17" s="1"/>
  <c r="G17" i="17"/>
  <c r="Q17" i="17" s="1"/>
  <c r="F17" i="17"/>
  <c r="P17" i="17" s="1"/>
  <c r="S17" i="17" s="1"/>
  <c r="H16" i="17"/>
  <c r="R16" i="17" s="1"/>
  <c r="G16" i="17"/>
  <c r="Q16" i="17" s="1"/>
  <c r="F16" i="17"/>
  <c r="P16" i="17" s="1"/>
  <c r="H15" i="17"/>
  <c r="R15" i="17" s="1"/>
  <c r="G15" i="17"/>
  <c r="Q15" i="17" s="1"/>
  <c r="AJ14" i="17"/>
  <c r="AK14" i="17"/>
  <c r="AL14" i="17"/>
  <c r="N10" i="21"/>
  <c r="M10" i="21"/>
  <c r="L10" i="21"/>
  <c r="K10" i="21"/>
  <c r="J10" i="21"/>
  <c r="G10" i="21"/>
  <c r="F10" i="21"/>
  <c r="E10" i="21"/>
  <c r="D10" i="21"/>
  <c r="C10" i="21"/>
  <c r="D5" i="21"/>
  <c r="E9" i="16"/>
  <c r="S20" i="17" l="1"/>
  <c r="S16" i="17"/>
  <c r="S19" i="17"/>
  <c r="L37" i="30"/>
  <c r="L10" i="30"/>
  <c r="L64" i="30"/>
  <c r="L118" i="30"/>
  <c r="M68" i="30"/>
  <c r="M122" i="30"/>
  <c r="M41" i="30"/>
  <c r="M95" i="30"/>
  <c r="N14" i="30"/>
  <c r="F10" i="13"/>
  <c r="N38" i="13"/>
  <c r="F34" i="13"/>
  <c r="L38" i="30" s="1"/>
  <c r="N14" i="13"/>
  <c r="M123" i="30" s="1"/>
  <c r="H27" i="17"/>
  <c r="O27" i="17"/>
  <c r="P27" i="17"/>
  <c r="P28" i="17" s="1"/>
  <c r="I27" i="17"/>
  <c r="I28" i="17" s="1"/>
  <c r="F27" i="17"/>
  <c r="F28" i="17" s="1"/>
  <c r="M27" i="17"/>
  <c r="M28" i="17" s="1"/>
  <c r="R27" i="17"/>
  <c r="K27" i="17"/>
  <c r="Q27" i="17"/>
  <c r="Q28" i="17" s="1"/>
  <c r="J27" i="17"/>
  <c r="J28" i="17" s="1"/>
  <c r="G27" i="17"/>
  <c r="G28" i="17" s="1"/>
  <c r="N27" i="17"/>
  <c r="N28" i="17" s="1"/>
  <c r="E27" i="17"/>
  <c r="E28" i="17" s="1"/>
  <c r="L27" i="17"/>
  <c r="L28" i="17" s="1"/>
  <c r="S38" i="13"/>
  <c r="N122" i="30"/>
  <c r="N68" i="30"/>
  <c r="N95" i="3"/>
  <c r="N41" i="3"/>
  <c r="N68" i="3"/>
  <c r="N95" i="30"/>
  <c r="N122" i="3"/>
  <c r="N41" i="30"/>
  <c r="S18" i="17"/>
  <c r="K10" i="30"/>
  <c r="K91" i="30"/>
  <c r="S15" i="17"/>
  <c r="S21" i="17"/>
  <c r="K118" i="30"/>
  <c r="K64" i="30"/>
  <c r="R13" i="14"/>
  <c r="B122" i="30"/>
  <c r="B94" i="30"/>
  <c r="B10" i="30"/>
  <c r="B38" i="30"/>
  <c r="B66" i="30"/>
  <c r="I17" i="17"/>
  <c r="T17" i="17" s="1"/>
  <c r="J15" i="17"/>
  <c r="U15" i="17" s="1"/>
  <c r="J20" i="17"/>
  <c r="U20" i="17" s="1"/>
  <c r="I16" i="17"/>
  <c r="T16" i="17" s="1"/>
  <c r="J21" i="17"/>
  <c r="U21" i="17" s="1"/>
  <c r="J16" i="17"/>
  <c r="U16" i="17" s="1"/>
  <c r="J17" i="17"/>
  <c r="U17" i="17" s="1"/>
  <c r="I18" i="17"/>
  <c r="T18" i="17" s="1"/>
  <c r="J18" i="17"/>
  <c r="U18" i="17" s="1"/>
  <c r="I19" i="17"/>
  <c r="T19" i="17" s="1"/>
  <c r="J19" i="17"/>
  <c r="U19" i="17" s="1"/>
  <c r="I20" i="17"/>
  <c r="T20" i="17" s="1"/>
  <c r="I15" i="17"/>
  <c r="T15" i="17" s="1"/>
  <c r="I21" i="17"/>
  <c r="T21" i="17" s="1"/>
  <c r="K19" i="17"/>
  <c r="V19" i="17" s="1"/>
  <c r="L19" i="17"/>
  <c r="W19" i="17" s="1"/>
  <c r="K21" i="17"/>
  <c r="V21" i="17" s="1"/>
  <c r="C35" i="17"/>
  <c r="K16" i="17"/>
  <c r="V16" i="17" s="1"/>
  <c r="M18" i="17"/>
  <c r="X18" i="17" s="1"/>
  <c r="M15" i="17"/>
  <c r="X15" i="17" s="1"/>
  <c r="M19" i="17"/>
  <c r="X19" i="17" s="1"/>
  <c r="K15" i="17"/>
  <c r="V15" i="17" s="1"/>
  <c r="L16" i="17"/>
  <c r="W16" i="17" s="1"/>
  <c r="K20" i="17"/>
  <c r="V20" i="17" s="1"/>
  <c r="B5" i="3"/>
  <c r="D3" i="9"/>
  <c r="I11" i="21"/>
  <c r="B11" i="21"/>
  <c r="G5" i="22"/>
  <c r="J5" i="22"/>
  <c r="I5" i="22"/>
  <c r="F5" i="22"/>
  <c r="E5" i="22"/>
  <c r="H5" i="22"/>
  <c r="L15" i="17"/>
  <c r="W15" i="17" s="1"/>
  <c r="M21" i="17"/>
  <c r="X21" i="17" s="1"/>
  <c r="K18" i="17"/>
  <c r="V18" i="17" s="1"/>
  <c r="L18" i="17"/>
  <c r="W18" i="17" s="1"/>
  <c r="K17" i="17"/>
  <c r="V17" i="17" s="1"/>
  <c r="M16" i="17"/>
  <c r="X16" i="17" s="1"/>
  <c r="M20" i="17"/>
  <c r="X20" i="17" s="1"/>
  <c r="M17" i="17"/>
  <c r="X17" i="17" s="1"/>
  <c r="L20" i="17"/>
  <c r="W20" i="17" s="1"/>
  <c r="L17" i="17"/>
  <c r="W17" i="17" s="1"/>
  <c r="L21" i="17"/>
  <c r="W21" i="17" s="1"/>
  <c r="D6" i="21"/>
  <c r="C11" i="21" s="1"/>
  <c r="D28" i="17"/>
  <c r="A6" i="3"/>
  <c r="H28" i="17" l="1"/>
  <c r="O28" i="17"/>
  <c r="K28" i="17"/>
  <c r="M42" i="30"/>
  <c r="M69" i="30"/>
  <c r="L65" i="30"/>
  <c r="M15" i="30"/>
  <c r="M96" i="30"/>
  <c r="L11" i="30"/>
  <c r="L119" i="30"/>
  <c r="L92" i="30"/>
  <c r="N15" i="30"/>
  <c r="N15" i="13"/>
  <c r="M97" i="30" s="1"/>
  <c r="F35" i="13"/>
  <c r="L93" i="30" s="1"/>
  <c r="N39" i="13"/>
  <c r="F11" i="13"/>
  <c r="K120" i="30" s="1"/>
  <c r="R28" i="17"/>
  <c r="S39" i="13"/>
  <c r="N69" i="30"/>
  <c r="N96" i="3"/>
  <c r="N69" i="3"/>
  <c r="N96" i="30"/>
  <c r="N123" i="3"/>
  <c r="N42" i="3"/>
  <c r="N123" i="30"/>
  <c r="N42" i="30"/>
  <c r="Y20" i="17"/>
  <c r="Y17" i="17"/>
  <c r="K38" i="30"/>
  <c r="K92" i="30"/>
  <c r="K11" i="30"/>
  <c r="K11" i="3"/>
  <c r="K65" i="30"/>
  <c r="K119" i="30"/>
  <c r="Y18" i="17"/>
  <c r="Y21" i="17"/>
  <c r="Y15" i="17"/>
  <c r="Y19" i="17"/>
  <c r="Y16" i="17"/>
  <c r="C36" i="21"/>
  <c r="I5" i="30" s="1"/>
  <c r="J36" i="21"/>
  <c r="R14" i="14"/>
  <c r="B123" i="30"/>
  <c r="B39" i="30"/>
  <c r="B12" i="21"/>
  <c r="B13" i="21" s="1"/>
  <c r="B14" i="21" s="1"/>
  <c r="B15" i="21" s="1"/>
  <c r="B16" i="21" s="1"/>
  <c r="B17" i="21" s="1"/>
  <c r="B18" i="21" s="1"/>
  <c r="B19" i="21" s="1"/>
  <c r="B20" i="21" s="1"/>
  <c r="B21" i="21" s="1"/>
  <c r="B22" i="21" s="1"/>
  <c r="B23" i="21" s="1"/>
  <c r="B24" i="21" s="1"/>
  <c r="B25" i="21" s="1"/>
  <c r="B26" i="21" s="1"/>
  <c r="B27" i="21" s="1"/>
  <c r="B28" i="21" s="1"/>
  <c r="B29" i="21" s="1"/>
  <c r="B30" i="21" s="1"/>
  <c r="B11" i="30"/>
  <c r="I12" i="21"/>
  <c r="I13" i="21" s="1"/>
  <c r="I14" i="21" s="1"/>
  <c r="I15" i="21" s="1"/>
  <c r="I16" i="21" s="1"/>
  <c r="I17" i="21" s="1"/>
  <c r="I18" i="21" s="1"/>
  <c r="I19" i="21" s="1"/>
  <c r="I20" i="21" s="1"/>
  <c r="I21" i="21" s="1"/>
  <c r="I22" i="21" s="1"/>
  <c r="I23" i="21" s="1"/>
  <c r="I24" i="21" s="1"/>
  <c r="I25" i="21" s="1"/>
  <c r="I26" i="21" s="1"/>
  <c r="I27" i="21" s="1"/>
  <c r="I28" i="21" s="1"/>
  <c r="I29" i="21" s="1"/>
  <c r="I30" i="21" s="1"/>
  <c r="B95" i="30"/>
  <c r="B67" i="30"/>
  <c r="C36" i="17"/>
  <c r="D29" i="17"/>
  <c r="T29" i="17" s="1"/>
  <c r="A7" i="3"/>
  <c r="N17" i="21"/>
  <c r="J11" i="21"/>
  <c r="E14" i="21"/>
  <c r="N18" i="21"/>
  <c r="K13" i="21"/>
  <c r="F14" i="21"/>
  <c r="M15" i="21"/>
  <c r="K14" i="21"/>
  <c r="D15" i="21"/>
  <c r="M16" i="21"/>
  <c r="K15" i="21"/>
  <c r="E15" i="21"/>
  <c r="J14" i="21"/>
  <c r="M17" i="21"/>
  <c r="D12" i="21"/>
  <c r="K37" i="21" s="1"/>
  <c r="F15" i="21"/>
  <c r="J13" i="21"/>
  <c r="L14" i="21"/>
  <c r="G15" i="21"/>
  <c r="J12" i="21"/>
  <c r="L15" i="21"/>
  <c r="C12" i="21"/>
  <c r="E16" i="21"/>
  <c r="L16" i="21"/>
  <c r="C13" i="21"/>
  <c r="F16" i="21"/>
  <c r="N15" i="21"/>
  <c r="C14" i="21"/>
  <c r="G16" i="21"/>
  <c r="M14" i="21"/>
  <c r="D13" i="21"/>
  <c r="F17" i="21"/>
  <c r="L13" i="21"/>
  <c r="E13" i="21"/>
  <c r="G17" i="21"/>
  <c r="N16" i="21"/>
  <c r="K12" i="21"/>
  <c r="D14" i="21"/>
  <c r="G18" i="21"/>
  <c r="B6" i="3"/>
  <c r="F63" i="9"/>
  <c r="G63" i="9"/>
  <c r="F64" i="9"/>
  <c r="G64" i="9"/>
  <c r="F65" i="9"/>
  <c r="G65" i="9"/>
  <c r="F66" i="9"/>
  <c r="G66" i="9"/>
  <c r="F67" i="9"/>
  <c r="G67" i="9"/>
  <c r="F68" i="9"/>
  <c r="G68" i="9"/>
  <c r="F69" i="9"/>
  <c r="G69" i="9"/>
  <c r="F70" i="9"/>
  <c r="G70" i="9"/>
  <c r="F71" i="9"/>
  <c r="G71" i="9"/>
  <c r="F72" i="9"/>
  <c r="G72" i="9"/>
  <c r="F73" i="9"/>
  <c r="G73" i="9"/>
  <c r="F74" i="9"/>
  <c r="G74" i="9"/>
  <c r="F75" i="9"/>
  <c r="G75" i="9"/>
  <c r="F76" i="9"/>
  <c r="G76" i="9"/>
  <c r="F77" i="9"/>
  <c r="G77" i="9"/>
  <c r="F78" i="9"/>
  <c r="G78" i="9"/>
  <c r="F79" i="9"/>
  <c r="G79" i="9"/>
  <c r="F80" i="9"/>
  <c r="G80" i="9"/>
  <c r="F81" i="9"/>
  <c r="G81" i="9"/>
  <c r="F82" i="9"/>
  <c r="G82" i="9"/>
  <c r="F83" i="9"/>
  <c r="G83" i="9"/>
  <c r="F84" i="9"/>
  <c r="G84" i="9"/>
  <c r="F85" i="9"/>
  <c r="G85" i="9"/>
  <c r="F86" i="9"/>
  <c r="G86" i="9"/>
  <c r="F87" i="9"/>
  <c r="G87" i="9"/>
  <c r="F88" i="9"/>
  <c r="G88" i="9"/>
  <c r="F89" i="9"/>
  <c r="G89" i="9"/>
  <c r="F90" i="9"/>
  <c r="G90" i="9"/>
  <c r="F91" i="9"/>
  <c r="G91" i="9"/>
  <c r="F92" i="9"/>
  <c r="G92" i="9"/>
  <c r="F93" i="9"/>
  <c r="G93" i="9"/>
  <c r="F94" i="9"/>
  <c r="G94" i="9"/>
  <c r="F95" i="9"/>
  <c r="G95" i="9"/>
  <c r="F96" i="9"/>
  <c r="G96" i="9"/>
  <c r="F97" i="9"/>
  <c r="G97" i="9"/>
  <c r="F98" i="9"/>
  <c r="G98" i="9"/>
  <c r="F99" i="9"/>
  <c r="G99" i="9"/>
  <c r="F100" i="9"/>
  <c r="G100" i="9"/>
  <c r="F101" i="9"/>
  <c r="G101" i="9"/>
  <c r="F102" i="9"/>
  <c r="G102" i="9"/>
  <c r="F103" i="9"/>
  <c r="G103" i="9"/>
  <c r="F104" i="9"/>
  <c r="G104" i="9"/>
  <c r="F105" i="9"/>
  <c r="G105" i="9"/>
  <c r="F106" i="9"/>
  <c r="G106" i="9"/>
  <c r="F107" i="9"/>
  <c r="G107" i="9"/>
  <c r="F108" i="9"/>
  <c r="G108" i="9"/>
  <c r="F109" i="9"/>
  <c r="G109" i="9"/>
  <c r="F110" i="9"/>
  <c r="G110" i="9"/>
  <c r="F111" i="9"/>
  <c r="G111" i="9"/>
  <c r="F112" i="9"/>
  <c r="G112" i="9"/>
  <c r="F113" i="9"/>
  <c r="G113" i="9"/>
  <c r="F114" i="9"/>
  <c r="G114" i="9"/>
  <c r="F115" i="9"/>
  <c r="G115" i="9"/>
  <c r="F116" i="9"/>
  <c r="G116" i="9"/>
  <c r="F117" i="9"/>
  <c r="G117" i="9"/>
  <c r="F118" i="9"/>
  <c r="G118" i="9"/>
  <c r="F119" i="9"/>
  <c r="G119" i="9"/>
  <c r="F120" i="9"/>
  <c r="G120" i="9"/>
  <c r="F121" i="9"/>
  <c r="G121" i="9"/>
  <c r="F122" i="9"/>
  <c r="G122" i="9"/>
  <c r="F123" i="9"/>
  <c r="G123" i="9"/>
  <c r="F124" i="9"/>
  <c r="G124" i="9"/>
  <c r="F125" i="9"/>
  <c r="G125" i="9"/>
  <c r="F126" i="9"/>
  <c r="G126" i="9"/>
  <c r="F127" i="9"/>
  <c r="G127" i="9"/>
  <c r="F128" i="9"/>
  <c r="G128" i="9"/>
  <c r="F129" i="9"/>
  <c r="G129" i="9"/>
  <c r="F130" i="9"/>
  <c r="G130" i="9"/>
  <c r="F131" i="9"/>
  <c r="G131" i="9"/>
  <c r="F132" i="9"/>
  <c r="G132" i="9"/>
  <c r="F133" i="9"/>
  <c r="G133" i="9"/>
  <c r="F134" i="9"/>
  <c r="G134" i="9"/>
  <c r="F135" i="9"/>
  <c r="G135" i="9"/>
  <c r="F136" i="9"/>
  <c r="G136" i="9"/>
  <c r="F137" i="9"/>
  <c r="G137" i="9"/>
  <c r="F138" i="9"/>
  <c r="G138" i="9"/>
  <c r="F139" i="9"/>
  <c r="G139" i="9"/>
  <c r="F140" i="9"/>
  <c r="G140" i="9"/>
  <c r="F141" i="9"/>
  <c r="G141" i="9"/>
  <c r="F142" i="9"/>
  <c r="G142" i="9"/>
  <c r="F143" i="9"/>
  <c r="G143" i="9"/>
  <c r="F144" i="9"/>
  <c r="G144" i="9"/>
  <c r="F145" i="9"/>
  <c r="G145" i="9"/>
  <c r="F146" i="9"/>
  <c r="G146" i="9"/>
  <c r="F147" i="9"/>
  <c r="G147" i="9"/>
  <c r="F148" i="9"/>
  <c r="G148" i="9"/>
  <c r="F149" i="9"/>
  <c r="G149" i="9"/>
  <c r="F150" i="9"/>
  <c r="G150" i="9"/>
  <c r="F151" i="9"/>
  <c r="G151" i="9"/>
  <c r="F152" i="9"/>
  <c r="G152" i="9"/>
  <c r="F153" i="9"/>
  <c r="G153" i="9"/>
  <c r="F154" i="9"/>
  <c r="G154" i="9"/>
  <c r="F155" i="9"/>
  <c r="G155" i="9"/>
  <c r="F156" i="9"/>
  <c r="G156" i="9"/>
  <c r="F157" i="9"/>
  <c r="G157" i="9"/>
  <c r="F158" i="9"/>
  <c r="G158" i="9"/>
  <c r="F159" i="9"/>
  <c r="G159" i="9"/>
  <c r="F160" i="9"/>
  <c r="G160" i="9"/>
  <c r="F161" i="9"/>
  <c r="G161" i="9"/>
  <c r="F162" i="9"/>
  <c r="G162" i="9"/>
  <c r="F163" i="9"/>
  <c r="G163" i="9"/>
  <c r="F164" i="9"/>
  <c r="G164" i="9"/>
  <c r="F165" i="9"/>
  <c r="G165" i="9"/>
  <c r="F166" i="9"/>
  <c r="G166" i="9"/>
  <c r="F167" i="9"/>
  <c r="G167" i="9"/>
  <c r="F168" i="9"/>
  <c r="G168" i="9"/>
  <c r="F169" i="9"/>
  <c r="G169" i="9"/>
  <c r="F170" i="9"/>
  <c r="G170" i="9"/>
  <c r="F171" i="9"/>
  <c r="G171" i="9"/>
  <c r="F172" i="9"/>
  <c r="G172" i="9"/>
  <c r="F173" i="9"/>
  <c r="G173" i="9"/>
  <c r="F174" i="9"/>
  <c r="G174" i="9"/>
  <c r="F175" i="9"/>
  <c r="G175" i="9"/>
  <c r="F176" i="9"/>
  <c r="G176" i="9"/>
  <c r="F177" i="9"/>
  <c r="G177" i="9"/>
  <c r="F178" i="9"/>
  <c r="G178" i="9"/>
  <c r="F179" i="9"/>
  <c r="G179" i="9"/>
  <c r="F180" i="9"/>
  <c r="G180" i="9"/>
  <c r="F181" i="9"/>
  <c r="G181" i="9"/>
  <c r="F182" i="9"/>
  <c r="G182" i="9"/>
  <c r="F183" i="9"/>
  <c r="G183" i="9"/>
  <c r="F184" i="9"/>
  <c r="G184" i="9"/>
  <c r="F185" i="9"/>
  <c r="G185" i="9"/>
  <c r="F186" i="9"/>
  <c r="G186" i="9"/>
  <c r="F187" i="9"/>
  <c r="G187" i="9"/>
  <c r="F188" i="9"/>
  <c r="G188" i="9"/>
  <c r="F189" i="9"/>
  <c r="G189" i="9"/>
  <c r="F190" i="9"/>
  <c r="G190" i="9"/>
  <c r="F191" i="9"/>
  <c r="G191" i="9"/>
  <c r="F192" i="9"/>
  <c r="G192" i="9"/>
  <c r="F193" i="9"/>
  <c r="G193" i="9"/>
  <c r="F194" i="9"/>
  <c r="G194" i="9"/>
  <c r="F195" i="9"/>
  <c r="G195" i="9"/>
  <c r="F196" i="9"/>
  <c r="G196" i="9"/>
  <c r="F197" i="9"/>
  <c r="G197" i="9"/>
  <c r="F198" i="9"/>
  <c r="G198" i="9"/>
  <c r="F199" i="9"/>
  <c r="G199" i="9"/>
  <c r="F200" i="9"/>
  <c r="G200" i="9"/>
  <c r="F201" i="9"/>
  <c r="G201" i="9"/>
  <c r="F202" i="9"/>
  <c r="G202" i="9"/>
  <c r="F203" i="9"/>
  <c r="G203" i="9"/>
  <c r="F204" i="9"/>
  <c r="G204" i="9"/>
  <c r="F205" i="9"/>
  <c r="G205" i="9"/>
  <c r="F206" i="9"/>
  <c r="G206" i="9"/>
  <c r="F207" i="9"/>
  <c r="G207" i="9"/>
  <c r="F208" i="9"/>
  <c r="G208" i="9"/>
  <c r="F209" i="9"/>
  <c r="G209" i="9"/>
  <c r="F210" i="9"/>
  <c r="G210" i="9"/>
  <c r="F211" i="9"/>
  <c r="G211" i="9"/>
  <c r="F212" i="9"/>
  <c r="G212" i="9"/>
  <c r="F213" i="9"/>
  <c r="G213" i="9"/>
  <c r="F214" i="9"/>
  <c r="G214" i="9"/>
  <c r="F215" i="9"/>
  <c r="G215" i="9"/>
  <c r="F216" i="9"/>
  <c r="G216" i="9"/>
  <c r="F217" i="9"/>
  <c r="G217" i="9"/>
  <c r="F218" i="9"/>
  <c r="G218" i="9"/>
  <c r="F219" i="9"/>
  <c r="G219" i="9"/>
  <c r="F220" i="9"/>
  <c r="G220" i="9"/>
  <c r="F221" i="9"/>
  <c r="G221" i="9"/>
  <c r="F222" i="9"/>
  <c r="G222" i="9"/>
  <c r="F223" i="9"/>
  <c r="G223" i="9"/>
  <c r="F224" i="9"/>
  <c r="G224" i="9"/>
  <c r="F225" i="9"/>
  <c r="G225" i="9"/>
  <c r="F226" i="9"/>
  <c r="G226" i="9"/>
  <c r="F227" i="9"/>
  <c r="G227" i="9"/>
  <c r="F228" i="9"/>
  <c r="G228" i="9"/>
  <c r="F229" i="9"/>
  <c r="G229" i="9"/>
  <c r="F230" i="9"/>
  <c r="G230" i="9"/>
  <c r="F231" i="9"/>
  <c r="G231" i="9"/>
  <c r="F232" i="9"/>
  <c r="G232" i="9"/>
  <c r="F233" i="9"/>
  <c r="G233" i="9"/>
  <c r="F234" i="9"/>
  <c r="G234" i="9"/>
  <c r="F235" i="9"/>
  <c r="G235" i="9"/>
  <c r="F236" i="9"/>
  <c r="G236" i="9"/>
  <c r="F237" i="9"/>
  <c r="G237" i="9"/>
  <c r="F238" i="9"/>
  <c r="G238" i="9"/>
  <c r="F239" i="9"/>
  <c r="G239" i="9"/>
  <c r="F240" i="9"/>
  <c r="G240" i="9"/>
  <c r="F241" i="9"/>
  <c r="G241" i="9"/>
  <c r="F242" i="9"/>
  <c r="G242" i="9"/>
  <c r="F243" i="9"/>
  <c r="G243" i="9"/>
  <c r="F244" i="9"/>
  <c r="G244" i="9"/>
  <c r="F245" i="9"/>
  <c r="G245" i="9"/>
  <c r="F246" i="9"/>
  <c r="G246" i="9"/>
  <c r="F247" i="9"/>
  <c r="G247" i="9"/>
  <c r="F248" i="9"/>
  <c r="G248" i="9"/>
  <c r="F249" i="9"/>
  <c r="G249" i="9"/>
  <c r="F250" i="9"/>
  <c r="G250" i="9"/>
  <c r="F251" i="9"/>
  <c r="G251" i="9"/>
  <c r="F252" i="9"/>
  <c r="G252" i="9"/>
  <c r="F253" i="9"/>
  <c r="G253" i="9"/>
  <c r="F254" i="9"/>
  <c r="G254" i="9"/>
  <c r="F255" i="9"/>
  <c r="G255" i="9"/>
  <c r="F256" i="9"/>
  <c r="G256" i="9"/>
  <c r="F257" i="9"/>
  <c r="G257" i="9"/>
  <c r="F258" i="9"/>
  <c r="G258" i="9"/>
  <c r="F259" i="9"/>
  <c r="G259" i="9"/>
  <c r="F260" i="9"/>
  <c r="G260" i="9"/>
  <c r="F261" i="9"/>
  <c r="G261" i="9"/>
  <c r="F262" i="9"/>
  <c r="G262" i="9"/>
  <c r="F263" i="9"/>
  <c r="G263" i="9"/>
  <c r="F264" i="9"/>
  <c r="G264" i="9"/>
  <c r="F265" i="9"/>
  <c r="G265" i="9"/>
  <c r="F266" i="9"/>
  <c r="G266" i="9"/>
  <c r="M16" i="30" l="1"/>
  <c r="M124" i="30"/>
  <c r="N16" i="30"/>
  <c r="M43" i="30"/>
  <c r="M70" i="30"/>
  <c r="K66" i="30"/>
  <c r="K12" i="3"/>
  <c r="K93" i="30"/>
  <c r="K12" i="30"/>
  <c r="K39" i="30"/>
  <c r="L66" i="30"/>
  <c r="L120" i="30"/>
  <c r="L39" i="30"/>
  <c r="L12" i="30"/>
  <c r="F12" i="13"/>
  <c r="K40" i="30" s="1"/>
  <c r="N40" i="13"/>
  <c r="F36" i="13"/>
  <c r="L40" i="30" s="1"/>
  <c r="N16" i="13"/>
  <c r="M125" i="30" s="1"/>
  <c r="S40" i="13"/>
  <c r="N70" i="30"/>
  <c r="N97" i="3"/>
  <c r="N70" i="3"/>
  <c r="N97" i="30"/>
  <c r="N124" i="3"/>
  <c r="N43" i="3"/>
  <c r="N124" i="30"/>
  <c r="N43" i="30"/>
  <c r="J33" i="3"/>
  <c r="J33" i="30"/>
  <c r="J5" i="3"/>
  <c r="J5" i="30"/>
  <c r="I5" i="3"/>
  <c r="F42" i="21"/>
  <c r="M42" i="21"/>
  <c r="G42" i="21"/>
  <c r="N42" i="21"/>
  <c r="E41" i="21"/>
  <c r="L41" i="21"/>
  <c r="E38" i="21"/>
  <c r="L38" i="21"/>
  <c r="C37" i="21"/>
  <c r="J37" i="21"/>
  <c r="D40" i="21"/>
  <c r="K40" i="21"/>
  <c r="D38" i="21"/>
  <c r="K38" i="21"/>
  <c r="C39" i="21"/>
  <c r="J39" i="21"/>
  <c r="G43" i="21"/>
  <c r="N43" i="21"/>
  <c r="E39" i="21"/>
  <c r="L39" i="21"/>
  <c r="D39" i="21"/>
  <c r="K39" i="21"/>
  <c r="F41" i="21"/>
  <c r="M41" i="21"/>
  <c r="G41" i="21"/>
  <c r="N41" i="21"/>
  <c r="C38" i="21"/>
  <c r="J38" i="21"/>
  <c r="G40" i="21"/>
  <c r="N40" i="21"/>
  <c r="F39" i="21"/>
  <c r="M39" i="21"/>
  <c r="F40" i="21"/>
  <c r="M40" i="21"/>
  <c r="E40" i="21"/>
  <c r="L40" i="21"/>
  <c r="D37" i="21"/>
  <c r="R15" i="14"/>
  <c r="B68" i="30"/>
  <c r="B12" i="30"/>
  <c r="B124" i="30"/>
  <c r="B96" i="30"/>
  <c r="B40" i="30"/>
  <c r="P4" i="21"/>
  <c r="D30" i="17"/>
  <c r="T30" i="17" s="1"/>
  <c r="C37" i="17"/>
  <c r="A8" i="3"/>
  <c r="B7" i="3"/>
  <c r="N17" i="30" l="1"/>
  <c r="K67" i="30"/>
  <c r="K121" i="30"/>
  <c r="K94" i="30"/>
  <c r="K13" i="30"/>
  <c r="L67" i="30"/>
  <c r="L13" i="30"/>
  <c r="L121" i="30"/>
  <c r="M98" i="30"/>
  <c r="M17" i="30"/>
  <c r="M71" i="30"/>
  <c r="M44" i="30"/>
  <c r="L94" i="30"/>
  <c r="N41" i="13"/>
  <c r="N17" i="13"/>
  <c r="M18" i="30" s="1"/>
  <c r="F37" i="13"/>
  <c r="L68" i="30" s="1"/>
  <c r="F13" i="13"/>
  <c r="K95" i="30" s="1"/>
  <c r="N29" i="17"/>
  <c r="G29" i="17"/>
  <c r="M29" i="17"/>
  <c r="F29" i="17"/>
  <c r="Q29" i="17"/>
  <c r="J29" i="17"/>
  <c r="P29" i="17"/>
  <c r="I29" i="17"/>
  <c r="O29" i="17"/>
  <c r="H29" i="17"/>
  <c r="R29" i="17"/>
  <c r="K29" i="17"/>
  <c r="L29" i="17"/>
  <c r="E29" i="17"/>
  <c r="S41" i="13"/>
  <c r="N71" i="3"/>
  <c r="N98" i="3"/>
  <c r="N98" i="30"/>
  <c r="N125" i="3"/>
  <c r="N44" i="3"/>
  <c r="N44" i="30"/>
  <c r="N125" i="30"/>
  <c r="N71" i="30"/>
  <c r="S30" i="17"/>
  <c r="I33" i="3"/>
  <c r="I33" i="30"/>
  <c r="J6" i="3"/>
  <c r="J6" i="30"/>
  <c r="I6" i="3"/>
  <c r="I6" i="30"/>
  <c r="R16" i="14"/>
  <c r="B125" i="30"/>
  <c r="B41" i="30"/>
  <c r="B13" i="30"/>
  <c r="B97" i="30"/>
  <c r="B69" i="30"/>
  <c r="D31" i="17"/>
  <c r="T31" i="17" s="1"/>
  <c r="C38" i="17"/>
  <c r="A9" i="3"/>
  <c r="B8" i="3"/>
  <c r="N18" i="30" l="1"/>
  <c r="M72" i="30"/>
  <c r="M126" i="30"/>
  <c r="M45" i="30"/>
  <c r="M99" i="30"/>
  <c r="K14" i="30"/>
  <c r="L95" i="30"/>
  <c r="K41" i="30"/>
  <c r="L122" i="30"/>
  <c r="L41" i="30"/>
  <c r="L14" i="30"/>
  <c r="K68" i="30"/>
  <c r="K122" i="30"/>
  <c r="F14" i="13"/>
  <c r="K123" i="30" s="1"/>
  <c r="F38" i="13"/>
  <c r="L15" i="30" s="1"/>
  <c r="N18" i="13"/>
  <c r="M73" i="30" s="1"/>
  <c r="N42" i="13"/>
  <c r="H30" i="17"/>
  <c r="I30" i="17"/>
  <c r="J30" i="17"/>
  <c r="E30" i="17"/>
  <c r="G30" i="17"/>
  <c r="F30" i="17"/>
  <c r="K30" i="17"/>
  <c r="L30" i="17"/>
  <c r="M30" i="17"/>
  <c r="R30" i="17"/>
  <c r="N30" i="17"/>
  <c r="P30" i="17"/>
  <c r="Q30" i="17"/>
  <c r="O30" i="17"/>
  <c r="S42" i="13"/>
  <c r="N99" i="30"/>
  <c r="N126" i="3"/>
  <c r="N45" i="3"/>
  <c r="N72" i="30"/>
  <c r="N72" i="3"/>
  <c r="N126" i="30"/>
  <c r="N45" i="30"/>
  <c r="N99" i="3"/>
  <c r="S31" i="17"/>
  <c r="R17" i="14"/>
  <c r="B14" i="30"/>
  <c r="B70" i="30"/>
  <c r="B42" i="30"/>
  <c r="B98" i="30"/>
  <c r="B126" i="30"/>
  <c r="C39" i="17"/>
  <c r="D32" i="17"/>
  <c r="T32" i="17" s="1"/>
  <c r="A10" i="3"/>
  <c r="B9" i="3"/>
  <c r="N19" i="30" l="1"/>
  <c r="L123" i="30"/>
  <c r="K96" i="30"/>
  <c r="K42" i="30"/>
  <c r="K15" i="30"/>
  <c r="K69" i="30"/>
  <c r="L42" i="30"/>
  <c r="L69" i="30"/>
  <c r="L96" i="30"/>
  <c r="M46" i="30"/>
  <c r="M100" i="30"/>
  <c r="M19" i="30"/>
  <c r="M127" i="30"/>
  <c r="N43" i="13"/>
  <c r="N19" i="13"/>
  <c r="M47" i="30" s="1"/>
  <c r="F39" i="13"/>
  <c r="L70" i="30" s="1"/>
  <c r="F15" i="13"/>
  <c r="K43" i="30" s="1"/>
  <c r="I31" i="17"/>
  <c r="N31" i="17"/>
  <c r="R31" i="17"/>
  <c r="P31" i="17"/>
  <c r="M31" i="17"/>
  <c r="L31" i="17"/>
  <c r="K31" i="17"/>
  <c r="G31" i="17"/>
  <c r="E31" i="17"/>
  <c r="J31" i="17"/>
  <c r="O31" i="17"/>
  <c r="F31" i="17"/>
  <c r="Q31" i="17"/>
  <c r="H31" i="17"/>
  <c r="S43" i="13"/>
  <c r="N100" i="30"/>
  <c r="N127" i="3"/>
  <c r="N46" i="3"/>
  <c r="N127" i="30"/>
  <c r="N46" i="30"/>
  <c r="N73" i="3"/>
  <c r="N100" i="3"/>
  <c r="N73" i="30"/>
  <c r="S32" i="17"/>
  <c r="J61" i="30"/>
  <c r="I61" i="30"/>
  <c r="I34" i="30"/>
  <c r="J34" i="30"/>
  <c r="I7" i="30"/>
  <c r="J7" i="30"/>
  <c r="J61" i="3"/>
  <c r="I61" i="3"/>
  <c r="J34" i="3"/>
  <c r="I34" i="3"/>
  <c r="J7" i="3"/>
  <c r="I7" i="3"/>
  <c r="R18" i="14"/>
  <c r="B15" i="30"/>
  <c r="B127" i="30"/>
  <c r="B43" i="30"/>
  <c r="B99" i="30"/>
  <c r="B71" i="30"/>
  <c r="D33" i="17"/>
  <c r="T33" i="17" s="1"/>
  <c r="C40" i="17"/>
  <c r="A11" i="3"/>
  <c r="B10" i="3"/>
  <c r="N20" i="30" l="1"/>
  <c r="M128" i="30"/>
  <c r="M101" i="30"/>
  <c r="M20" i="30"/>
  <c r="M74" i="30"/>
  <c r="K124" i="30"/>
  <c r="K16" i="30"/>
  <c r="K97" i="30"/>
  <c r="L124" i="30"/>
  <c r="L97" i="30"/>
  <c r="L16" i="30"/>
  <c r="F16" i="13"/>
  <c r="K17" i="30" s="1"/>
  <c r="F40" i="13"/>
  <c r="L98" i="30" s="1"/>
  <c r="N20" i="13"/>
  <c r="M75" i="30" s="1"/>
  <c r="K70" i="30"/>
  <c r="L43" i="30"/>
  <c r="N44" i="13"/>
  <c r="K32" i="17"/>
  <c r="L32" i="17"/>
  <c r="R32" i="17"/>
  <c r="N32" i="17"/>
  <c r="H32" i="17"/>
  <c r="M32" i="17"/>
  <c r="E32" i="17"/>
  <c r="G32" i="17"/>
  <c r="P32" i="17"/>
  <c r="O32" i="17"/>
  <c r="J32" i="17"/>
  <c r="F32" i="17"/>
  <c r="Q32" i="17"/>
  <c r="I32" i="17"/>
  <c r="S44" i="13"/>
  <c r="N101" i="30"/>
  <c r="N128" i="3"/>
  <c r="N47" i="3"/>
  <c r="N128" i="30"/>
  <c r="N47" i="30"/>
  <c r="N74" i="3"/>
  <c r="N101" i="3"/>
  <c r="N74" i="30"/>
  <c r="S33" i="17"/>
  <c r="J89" i="30"/>
  <c r="I89" i="30"/>
  <c r="J62" i="30"/>
  <c r="I62" i="30"/>
  <c r="J35" i="30"/>
  <c r="I35" i="30"/>
  <c r="I8" i="30"/>
  <c r="J8" i="30"/>
  <c r="J89" i="3"/>
  <c r="I89" i="3"/>
  <c r="J62" i="3"/>
  <c r="I62" i="3"/>
  <c r="I35" i="3"/>
  <c r="J35" i="3"/>
  <c r="J8" i="3"/>
  <c r="I8" i="3"/>
  <c r="R19" i="14"/>
  <c r="B100" i="30"/>
  <c r="B16" i="30"/>
  <c r="B72" i="30"/>
  <c r="B44" i="30"/>
  <c r="B128" i="30"/>
  <c r="D34" i="17"/>
  <c r="T34" i="17" s="1"/>
  <c r="C41" i="17"/>
  <c r="A12" i="3"/>
  <c r="B11" i="3"/>
  <c r="N21" i="30" l="1"/>
  <c r="K125" i="30"/>
  <c r="K44" i="30"/>
  <c r="M21" i="30"/>
  <c r="M48" i="30"/>
  <c r="M129" i="30"/>
  <c r="K71" i="30"/>
  <c r="L125" i="30"/>
  <c r="K98" i="30"/>
  <c r="L17" i="30"/>
  <c r="L44" i="30"/>
  <c r="M102" i="30"/>
  <c r="L71" i="30"/>
  <c r="N45" i="13"/>
  <c r="N21" i="13"/>
  <c r="M22" i="30" s="1"/>
  <c r="F41" i="13"/>
  <c r="L45" i="30" s="1"/>
  <c r="F17" i="13"/>
  <c r="K45" i="30" s="1"/>
  <c r="P33" i="17"/>
  <c r="M33" i="17"/>
  <c r="L33" i="17"/>
  <c r="K33" i="17"/>
  <c r="G33" i="17"/>
  <c r="E33" i="17"/>
  <c r="J33" i="17"/>
  <c r="O33" i="17"/>
  <c r="I33" i="17"/>
  <c r="H33" i="17"/>
  <c r="R33" i="17"/>
  <c r="F33" i="17"/>
  <c r="Q33" i="17"/>
  <c r="N33" i="17"/>
  <c r="S45" i="13"/>
  <c r="N102" i="3"/>
  <c r="N48" i="3"/>
  <c r="N129" i="30"/>
  <c r="N48" i="30"/>
  <c r="N75" i="3"/>
  <c r="N102" i="30"/>
  <c r="N129" i="3"/>
  <c r="N75" i="30"/>
  <c r="S34" i="17"/>
  <c r="I117" i="30"/>
  <c r="J117" i="30"/>
  <c r="J90" i="30"/>
  <c r="I90" i="30"/>
  <c r="I63" i="30"/>
  <c r="J63" i="30"/>
  <c r="J36" i="30"/>
  <c r="I36" i="30"/>
  <c r="J9" i="30"/>
  <c r="I9" i="30"/>
  <c r="J117" i="3"/>
  <c r="I117" i="3"/>
  <c r="I90" i="3"/>
  <c r="J90" i="3"/>
  <c r="J63" i="3"/>
  <c r="I63" i="3"/>
  <c r="J36" i="3"/>
  <c r="I36" i="3"/>
  <c r="I9" i="3"/>
  <c r="J9" i="3"/>
  <c r="R20" i="14"/>
  <c r="B45" i="30"/>
  <c r="B129" i="30"/>
  <c r="B17" i="30"/>
  <c r="B101" i="30"/>
  <c r="B73" i="30"/>
  <c r="C42" i="17"/>
  <c r="D35" i="17"/>
  <c r="T35" i="17" s="1"/>
  <c r="A13" i="3"/>
  <c r="B12" i="3"/>
  <c r="N22" i="30" l="1"/>
  <c r="L72" i="30"/>
  <c r="L126" i="30"/>
  <c r="L18" i="30"/>
  <c r="L99" i="30"/>
  <c r="M130" i="30"/>
  <c r="M103" i="30"/>
  <c r="M76" i="30"/>
  <c r="M49" i="30"/>
  <c r="K126" i="30"/>
  <c r="K18" i="30"/>
  <c r="K72" i="30"/>
  <c r="K99" i="30"/>
  <c r="F18" i="13"/>
  <c r="K127" i="30" s="1"/>
  <c r="F42" i="13"/>
  <c r="L73" i="30" s="1"/>
  <c r="N22" i="13"/>
  <c r="M23" i="30" s="1"/>
  <c r="N46" i="13"/>
  <c r="H34" i="17"/>
  <c r="N34" i="17"/>
  <c r="I34" i="17"/>
  <c r="O34" i="17"/>
  <c r="J34" i="17"/>
  <c r="E34" i="17"/>
  <c r="G34" i="17"/>
  <c r="K34" i="17"/>
  <c r="L34" i="17"/>
  <c r="M34" i="17"/>
  <c r="R34" i="17"/>
  <c r="F34" i="17"/>
  <c r="Q34" i="17"/>
  <c r="P34" i="17"/>
  <c r="S46" i="13"/>
  <c r="N130" i="3"/>
  <c r="N130" i="30"/>
  <c r="N49" i="30"/>
  <c r="N76" i="3"/>
  <c r="N76" i="30"/>
  <c r="N103" i="3"/>
  <c r="N103" i="30"/>
  <c r="N49" i="3"/>
  <c r="S35" i="17"/>
  <c r="J118" i="30"/>
  <c r="I118" i="30"/>
  <c r="I91" i="30"/>
  <c r="J91" i="30"/>
  <c r="I64" i="30"/>
  <c r="J64" i="30"/>
  <c r="J37" i="30"/>
  <c r="I37" i="30"/>
  <c r="J10" i="30"/>
  <c r="I10" i="30"/>
  <c r="J118" i="3"/>
  <c r="I118" i="3"/>
  <c r="J91" i="3"/>
  <c r="I91" i="3"/>
  <c r="J64" i="3"/>
  <c r="I64" i="3"/>
  <c r="J37" i="3"/>
  <c r="I37" i="3"/>
  <c r="J10" i="3"/>
  <c r="I10" i="3"/>
  <c r="R21" i="14"/>
  <c r="B102" i="30"/>
  <c r="B74" i="30"/>
  <c r="B130" i="30"/>
  <c r="B46" i="30"/>
  <c r="B18" i="30"/>
  <c r="C43" i="17"/>
  <c r="D36" i="17"/>
  <c r="T36" i="17" s="1"/>
  <c r="A14" i="3"/>
  <c r="B13" i="3"/>
  <c r="K73" i="30" l="1"/>
  <c r="L127" i="30"/>
  <c r="L46" i="30"/>
  <c r="L100" i="30"/>
  <c r="L19" i="30"/>
  <c r="K46" i="30"/>
  <c r="K100" i="30"/>
  <c r="K19" i="30"/>
  <c r="M50" i="30"/>
  <c r="M77" i="30"/>
  <c r="M131" i="30"/>
  <c r="M104" i="30"/>
  <c r="N47" i="13"/>
  <c r="N23" i="13"/>
  <c r="F43" i="13"/>
  <c r="L47" i="30" s="1"/>
  <c r="F19" i="13"/>
  <c r="K128" i="30" s="1"/>
  <c r="N23" i="30"/>
  <c r="O35" i="17"/>
  <c r="S36" i="17"/>
  <c r="I35" i="17"/>
  <c r="I36" i="17" s="1"/>
  <c r="E35" i="17"/>
  <c r="E36" i="17" s="1"/>
  <c r="P35" i="17"/>
  <c r="P36" i="17" s="1"/>
  <c r="J35" i="17"/>
  <c r="J36" i="17" s="1"/>
  <c r="N35" i="17"/>
  <c r="N36" i="17" s="1"/>
  <c r="R35" i="17"/>
  <c r="R36" i="17" s="1"/>
  <c r="M35" i="17"/>
  <c r="M36" i="17" s="1"/>
  <c r="L35" i="17"/>
  <c r="L36" i="17" s="1"/>
  <c r="K35" i="17"/>
  <c r="K36" i="17" s="1"/>
  <c r="G35" i="17"/>
  <c r="F35" i="17"/>
  <c r="Q35" i="17"/>
  <c r="Q36" i="17" s="1"/>
  <c r="H35" i="17"/>
  <c r="H36" i="17" s="1"/>
  <c r="S47" i="13"/>
  <c r="N131" i="30"/>
  <c r="N50" i="30"/>
  <c r="N77" i="3"/>
  <c r="N50" i="3"/>
  <c r="N131" i="3"/>
  <c r="N77" i="30"/>
  <c r="N104" i="3"/>
  <c r="N104" i="30"/>
  <c r="J119" i="30"/>
  <c r="I119" i="30"/>
  <c r="J92" i="30"/>
  <c r="I92" i="30"/>
  <c r="J65" i="30"/>
  <c r="I65" i="30"/>
  <c r="J38" i="30"/>
  <c r="I38" i="30"/>
  <c r="J11" i="30"/>
  <c r="I11" i="30"/>
  <c r="J119" i="3"/>
  <c r="I119" i="3"/>
  <c r="J92" i="3"/>
  <c r="I92" i="3"/>
  <c r="J65" i="3"/>
  <c r="I65" i="3"/>
  <c r="J38" i="3"/>
  <c r="I38" i="3"/>
  <c r="J11" i="3"/>
  <c r="I11" i="3"/>
  <c r="R22" i="14"/>
  <c r="B103" i="30"/>
  <c r="B75" i="30"/>
  <c r="B47" i="30"/>
  <c r="B19" i="30"/>
  <c r="B131" i="30"/>
  <c r="D37" i="17"/>
  <c r="T37" i="17" s="1"/>
  <c r="S37" i="17" s="1"/>
  <c r="C44" i="17"/>
  <c r="A15" i="3"/>
  <c r="B14" i="3"/>
  <c r="K47" i="30" l="1"/>
  <c r="K74" i="30"/>
  <c r="K101" i="30"/>
  <c r="K20" i="30"/>
  <c r="M24" i="30"/>
  <c r="L101" i="30"/>
  <c r="M51" i="30"/>
  <c r="M105" i="30"/>
  <c r="M132" i="30"/>
  <c r="M78" i="30"/>
  <c r="L74" i="30"/>
  <c r="L20" i="30"/>
  <c r="L128" i="30"/>
  <c r="F20" i="13"/>
  <c r="K21" i="30" s="1"/>
  <c r="F44" i="13"/>
  <c r="L75" i="30" s="1"/>
  <c r="F36" i="17"/>
  <c r="O36" i="17"/>
  <c r="O37" i="17" s="1"/>
  <c r="G36" i="17"/>
  <c r="G37" i="17" s="1"/>
  <c r="P37" i="17"/>
  <c r="J37" i="17"/>
  <c r="E37" i="17"/>
  <c r="K37" i="17"/>
  <c r="L37" i="17"/>
  <c r="M37" i="17"/>
  <c r="H37" i="17"/>
  <c r="R37" i="17"/>
  <c r="Q37" i="17"/>
  <c r="N37" i="17"/>
  <c r="I37" i="17"/>
  <c r="N132" i="30"/>
  <c r="N51" i="30"/>
  <c r="N78" i="3"/>
  <c r="N51" i="3"/>
  <c r="N78" i="30"/>
  <c r="N105" i="3"/>
  <c r="N105" i="30"/>
  <c r="N132" i="3"/>
  <c r="N24" i="30"/>
  <c r="J120" i="30"/>
  <c r="I120" i="30"/>
  <c r="J93" i="30"/>
  <c r="I93" i="30"/>
  <c r="J66" i="30"/>
  <c r="I66" i="30"/>
  <c r="J39" i="30"/>
  <c r="I39" i="30"/>
  <c r="J12" i="30"/>
  <c r="I12" i="30"/>
  <c r="J120" i="3"/>
  <c r="I120" i="3"/>
  <c r="J93" i="3"/>
  <c r="I93" i="3"/>
  <c r="J66" i="3"/>
  <c r="I66" i="3"/>
  <c r="J39" i="3"/>
  <c r="I39" i="3"/>
  <c r="J12" i="3"/>
  <c r="I12" i="3"/>
  <c r="R23" i="14"/>
  <c r="B48" i="30"/>
  <c r="B76" i="30"/>
  <c r="B20" i="30"/>
  <c r="B132" i="30"/>
  <c r="B104" i="30"/>
  <c r="D38" i="17"/>
  <c r="T38" i="17" s="1"/>
  <c r="S38" i="17" s="1"/>
  <c r="C45" i="17"/>
  <c r="A16" i="3"/>
  <c r="B15" i="3"/>
  <c r="K75" i="30" l="1"/>
  <c r="K48" i="30"/>
  <c r="K129" i="30"/>
  <c r="K102" i="30"/>
  <c r="L21" i="30"/>
  <c r="L129" i="30"/>
  <c r="L102" i="30"/>
  <c r="L48" i="30"/>
  <c r="F37" i="17"/>
  <c r="F38" i="17" s="1"/>
  <c r="F45" i="13"/>
  <c r="L103" i="30" s="1"/>
  <c r="F21" i="13"/>
  <c r="K49" i="30" s="1"/>
  <c r="N38" i="17"/>
  <c r="P38" i="17"/>
  <c r="Q38" i="17"/>
  <c r="R38" i="17"/>
  <c r="H38" i="17"/>
  <c r="M38" i="17"/>
  <c r="L38" i="17"/>
  <c r="K38" i="17"/>
  <c r="G38" i="17"/>
  <c r="E38" i="17"/>
  <c r="J38" i="17"/>
  <c r="I38" i="17"/>
  <c r="O38" i="17"/>
  <c r="J121" i="30"/>
  <c r="I121" i="30"/>
  <c r="J94" i="30"/>
  <c r="I94" i="30"/>
  <c r="J67" i="30"/>
  <c r="I67" i="30"/>
  <c r="I40" i="30"/>
  <c r="J40" i="30"/>
  <c r="J13" i="30"/>
  <c r="I13" i="30"/>
  <c r="I121" i="3"/>
  <c r="J121" i="3"/>
  <c r="J94" i="3"/>
  <c r="I94" i="3"/>
  <c r="I67" i="3"/>
  <c r="J67" i="3"/>
  <c r="J40" i="3"/>
  <c r="I40" i="3"/>
  <c r="J13" i="3"/>
  <c r="I13" i="3"/>
  <c r="R24" i="14"/>
  <c r="B49" i="30"/>
  <c r="B105" i="30"/>
  <c r="B21" i="30"/>
  <c r="B77" i="30"/>
  <c r="D39" i="17"/>
  <c r="T39" i="17" s="1"/>
  <c r="S39" i="17" s="1"/>
  <c r="C46" i="17"/>
  <c r="A17" i="3"/>
  <c r="B16" i="3"/>
  <c r="L130" i="30" l="1"/>
  <c r="L76" i="30"/>
  <c r="L49" i="30"/>
  <c r="L22" i="30"/>
  <c r="K130" i="30"/>
  <c r="K22" i="30"/>
  <c r="K76" i="30"/>
  <c r="F22" i="13"/>
  <c r="K50" i="30" s="1"/>
  <c r="F46" i="13"/>
  <c r="L77" i="30" s="1"/>
  <c r="K103" i="30"/>
  <c r="F39" i="17"/>
  <c r="I39" i="17"/>
  <c r="E39" i="17"/>
  <c r="M39" i="17"/>
  <c r="N39" i="17"/>
  <c r="J39" i="17"/>
  <c r="G39" i="17"/>
  <c r="K39" i="17"/>
  <c r="L39" i="17"/>
  <c r="H39" i="17"/>
  <c r="R39" i="17"/>
  <c r="Q39" i="17"/>
  <c r="O39" i="17"/>
  <c r="P39" i="17"/>
  <c r="J122" i="30"/>
  <c r="I122" i="30"/>
  <c r="J95" i="30"/>
  <c r="I95" i="30"/>
  <c r="I68" i="30"/>
  <c r="J68" i="30"/>
  <c r="I41" i="30"/>
  <c r="J41" i="30"/>
  <c r="J14" i="30"/>
  <c r="I14" i="30"/>
  <c r="I122" i="3"/>
  <c r="J122" i="3"/>
  <c r="J95" i="3"/>
  <c r="I95" i="3"/>
  <c r="I68" i="3"/>
  <c r="J68" i="3"/>
  <c r="J41" i="3"/>
  <c r="I41" i="3"/>
  <c r="J14" i="3"/>
  <c r="I14" i="3"/>
  <c r="R25" i="14"/>
  <c r="B22" i="30"/>
  <c r="B78" i="30"/>
  <c r="B50" i="30"/>
  <c r="C47" i="17"/>
  <c r="D40" i="17"/>
  <c r="T40" i="17" s="1"/>
  <c r="S40" i="17" s="1"/>
  <c r="A18" i="3"/>
  <c r="B17" i="3"/>
  <c r="F40" i="17" l="1"/>
  <c r="K104" i="30"/>
  <c r="L131" i="30"/>
  <c r="K131" i="30"/>
  <c r="K77" i="30"/>
  <c r="K23" i="30"/>
  <c r="L23" i="30"/>
  <c r="L104" i="30"/>
  <c r="L50" i="30"/>
  <c r="F47" i="13"/>
  <c r="F23" i="13"/>
  <c r="O40" i="17"/>
  <c r="Q40" i="17"/>
  <c r="M40" i="17"/>
  <c r="R40" i="17"/>
  <c r="I40" i="17"/>
  <c r="H40" i="17"/>
  <c r="L40" i="17"/>
  <c r="K40" i="17"/>
  <c r="G40" i="17"/>
  <c r="E40" i="17"/>
  <c r="N40" i="17"/>
  <c r="J40" i="17"/>
  <c r="P40" i="17"/>
  <c r="I123" i="30"/>
  <c r="J123" i="30"/>
  <c r="J96" i="30"/>
  <c r="I96" i="30"/>
  <c r="J69" i="30"/>
  <c r="I69" i="30"/>
  <c r="J42" i="30"/>
  <c r="I42" i="30"/>
  <c r="I15" i="30"/>
  <c r="J15" i="30"/>
  <c r="I123" i="3"/>
  <c r="J123" i="3"/>
  <c r="I96" i="3"/>
  <c r="J96" i="3"/>
  <c r="I69" i="3"/>
  <c r="J69" i="3"/>
  <c r="J42" i="3"/>
  <c r="I42" i="3"/>
  <c r="J15" i="3"/>
  <c r="I15" i="3"/>
  <c r="R26" i="14"/>
  <c r="B51" i="30"/>
  <c r="B23" i="30"/>
  <c r="C48" i="17"/>
  <c r="D41" i="17"/>
  <c r="T41" i="17" s="1"/>
  <c r="S41" i="17" s="1"/>
  <c r="A19" i="3"/>
  <c r="B18" i="3"/>
  <c r="F41" i="17" l="1"/>
  <c r="L51" i="30"/>
  <c r="L24" i="30"/>
  <c r="L78" i="30"/>
  <c r="L105" i="30"/>
  <c r="K51" i="30"/>
  <c r="L132" i="30"/>
  <c r="K105" i="30"/>
  <c r="K24" i="30"/>
  <c r="K132" i="30"/>
  <c r="K78" i="30"/>
  <c r="E41" i="17"/>
  <c r="N41" i="17"/>
  <c r="G41" i="17"/>
  <c r="K41" i="17"/>
  <c r="L41" i="17"/>
  <c r="H41" i="17"/>
  <c r="I41" i="17"/>
  <c r="R41" i="17"/>
  <c r="O41" i="17"/>
  <c r="M41" i="17"/>
  <c r="P41" i="17"/>
  <c r="Q41" i="17"/>
  <c r="J41" i="17"/>
  <c r="I124" i="30"/>
  <c r="J124" i="30"/>
  <c r="J97" i="30"/>
  <c r="I97" i="30"/>
  <c r="I70" i="30"/>
  <c r="J70" i="30"/>
  <c r="J43" i="30"/>
  <c r="I43" i="30"/>
  <c r="I16" i="30"/>
  <c r="J16" i="30"/>
  <c r="J124" i="3"/>
  <c r="I124" i="3"/>
  <c r="J97" i="3"/>
  <c r="I97" i="3"/>
  <c r="J70" i="3"/>
  <c r="I70" i="3"/>
  <c r="J43" i="3"/>
  <c r="I43" i="3"/>
  <c r="J16" i="3"/>
  <c r="I16" i="3"/>
  <c r="R27" i="14"/>
  <c r="B24" i="30"/>
  <c r="D42" i="17"/>
  <c r="T42" i="17" s="1"/>
  <c r="S42" i="17" s="1"/>
  <c r="A20" i="3"/>
  <c r="B19" i="3"/>
  <c r="F42" i="17" l="1"/>
  <c r="G42" i="17"/>
  <c r="M42" i="17"/>
  <c r="O42" i="17"/>
  <c r="R42" i="17"/>
  <c r="I42" i="17"/>
  <c r="H42" i="17"/>
  <c r="P42" i="17"/>
  <c r="K42" i="17"/>
  <c r="E42" i="17"/>
  <c r="L42" i="17"/>
  <c r="J42" i="17"/>
  <c r="N42" i="17"/>
  <c r="Q42" i="17"/>
  <c r="J125" i="30"/>
  <c r="I125" i="30"/>
  <c r="J98" i="30"/>
  <c r="I98" i="30"/>
  <c r="J71" i="30"/>
  <c r="I71" i="30"/>
  <c r="I44" i="30"/>
  <c r="J44" i="30"/>
  <c r="J17" i="30"/>
  <c r="I17" i="30"/>
  <c r="J125" i="3"/>
  <c r="I125" i="3"/>
  <c r="J98" i="3"/>
  <c r="I98" i="3"/>
  <c r="J71" i="3"/>
  <c r="I71" i="3"/>
  <c r="I44" i="3"/>
  <c r="J44" i="3"/>
  <c r="J17" i="3"/>
  <c r="I17" i="3"/>
  <c r="R28" i="14"/>
  <c r="D43" i="17"/>
  <c r="T43" i="17" s="1"/>
  <c r="A21" i="3"/>
  <c r="B20" i="3"/>
  <c r="S43" i="17" l="1"/>
  <c r="M43" i="17" s="1"/>
  <c r="J126" i="30"/>
  <c r="I126" i="30"/>
  <c r="J99" i="30"/>
  <c r="I99" i="30"/>
  <c r="J72" i="30"/>
  <c r="I72" i="30"/>
  <c r="J45" i="30"/>
  <c r="I45" i="30"/>
  <c r="J18" i="30"/>
  <c r="I18" i="30"/>
  <c r="J126" i="3"/>
  <c r="I126" i="3"/>
  <c r="J99" i="3"/>
  <c r="I99" i="3"/>
  <c r="J72" i="3"/>
  <c r="I72" i="3"/>
  <c r="J45" i="3"/>
  <c r="I45" i="3"/>
  <c r="J18" i="3"/>
  <c r="I18" i="3"/>
  <c r="R29" i="14"/>
  <c r="D44" i="17"/>
  <c r="T44" i="17" s="1"/>
  <c r="A22" i="3"/>
  <c r="B21" i="3"/>
  <c r="F43" i="17" l="1"/>
  <c r="G43" i="17"/>
  <c r="J43" i="17"/>
  <c r="N43" i="17"/>
  <c r="Q43" i="17"/>
  <c r="O43" i="17"/>
  <c r="R43" i="17"/>
  <c r="R44" i="17" s="1"/>
  <c r="L43" i="17"/>
  <c r="I43" i="17"/>
  <c r="P43" i="17"/>
  <c r="H43" i="17"/>
  <c r="K43" i="17"/>
  <c r="K44" i="17" s="1"/>
  <c r="E43" i="17"/>
  <c r="S44" i="17"/>
  <c r="M44" i="17" s="1"/>
  <c r="J127" i="30"/>
  <c r="I127" i="30"/>
  <c r="I100" i="30"/>
  <c r="J100" i="30"/>
  <c r="J73" i="30"/>
  <c r="I73" i="30"/>
  <c r="J46" i="30"/>
  <c r="I46" i="30"/>
  <c r="J19" i="30"/>
  <c r="I19" i="30"/>
  <c r="J127" i="3"/>
  <c r="I127" i="3"/>
  <c r="J100" i="3"/>
  <c r="I100" i="3"/>
  <c r="J73" i="3"/>
  <c r="I73" i="3"/>
  <c r="J46" i="3"/>
  <c r="I46" i="3"/>
  <c r="J19" i="3"/>
  <c r="I19" i="3"/>
  <c r="R30" i="14"/>
  <c r="D45" i="17"/>
  <c r="T45" i="17" s="1"/>
  <c r="A23" i="3"/>
  <c r="B22" i="3"/>
  <c r="H44" i="17" l="1"/>
  <c r="P44" i="17"/>
  <c r="I44" i="17"/>
  <c r="O44" i="17"/>
  <c r="Q44" i="17"/>
  <c r="L44" i="17"/>
  <c r="F44" i="17"/>
  <c r="N44" i="17"/>
  <c r="J44" i="17"/>
  <c r="E44" i="17"/>
  <c r="G44" i="17"/>
  <c r="S45" i="17"/>
  <c r="I128" i="30"/>
  <c r="J128" i="30"/>
  <c r="J101" i="30"/>
  <c r="I101" i="30"/>
  <c r="J74" i="30"/>
  <c r="I74" i="30"/>
  <c r="I47" i="30"/>
  <c r="J47" i="30"/>
  <c r="J20" i="30"/>
  <c r="I20" i="30"/>
  <c r="I128" i="3"/>
  <c r="J128" i="3"/>
  <c r="I101" i="3"/>
  <c r="J101" i="3"/>
  <c r="I74" i="3"/>
  <c r="J74" i="3"/>
  <c r="J47" i="3"/>
  <c r="I47" i="3"/>
  <c r="J20" i="3"/>
  <c r="I20" i="3"/>
  <c r="R31" i="14"/>
  <c r="D46" i="17"/>
  <c r="T46" i="17" s="1"/>
  <c r="A24" i="3"/>
  <c r="B23" i="3"/>
  <c r="P45" i="17" l="1"/>
  <c r="G45" i="17"/>
  <c r="E45" i="17"/>
  <c r="J45" i="17"/>
  <c r="O45" i="17"/>
  <c r="N45" i="17"/>
  <c r="K45" i="17"/>
  <c r="Q45" i="17"/>
  <c r="R45" i="17"/>
  <c r="H45" i="17"/>
  <c r="M45" i="17"/>
  <c r="M46" i="17" s="1"/>
  <c r="L45" i="17"/>
  <c r="I45" i="17"/>
  <c r="F45" i="17"/>
  <c r="S46" i="17"/>
  <c r="J129" i="30"/>
  <c r="I129" i="30"/>
  <c r="J102" i="30"/>
  <c r="I102" i="30"/>
  <c r="J75" i="30"/>
  <c r="I75" i="30"/>
  <c r="J48" i="30"/>
  <c r="I48" i="30"/>
  <c r="J21" i="30"/>
  <c r="I21" i="30"/>
  <c r="I129" i="3"/>
  <c r="J129" i="3"/>
  <c r="J102" i="3"/>
  <c r="I102" i="3"/>
  <c r="J75" i="3"/>
  <c r="I75" i="3"/>
  <c r="I48" i="3"/>
  <c r="J48" i="3"/>
  <c r="J21" i="3"/>
  <c r="I21" i="3"/>
  <c r="R32" i="14"/>
  <c r="D47" i="17"/>
  <c r="T47" i="17" s="1"/>
  <c r="B24" i="3"/>
  <c r="E46" i="17" l="1"/>
  <c r="P46" i="17"/>
  <c r="F46" i="17"/>
  <c r="Q46" i="17"/>
  <c r="I46" i="17"/>
  <c r="L46" i="17"/>
  <c r="L47" i="17" s="1"/>
  <c r="H46" i="17"/>
  <c r="R46" i="17"/>
  <c r="K46" i="17"/>
  <c r="N46" i="17"/>
  <c r="O46" i="17"/>
  <c r="J46" i="17"/>
  <c r="G46" i="17"/>
  <c r="S47" i="17"/>
  <c r="J130" i="30"/>
  <c r="I130" i="30"/>
  <c r="I103" i="30"/>
  <c r="J103" i="30"/>
  <c r="J76" i="30"/>
  <c r="I76" i="30"/>
  <c r="I49" i="30"/>
  <c r="J49" i="30"/>
  <c r="J22" i="30"/>
  <c r="I22" i="30"/>
  <c r="J130" i="3"/>
  <c r="I130" i="3"/>
  <c r="J103" i="3"/>
  <c r="I103" i="3"/>
  <c r="J76" i="3"/>
  <c r="I76" i="3"/>
  <c r="J49" i="3"/>
  <c r="I49" i="3"/>
  <c r="I22" i="3"/>
  <c r="J22" i="3"/>
  <c r="R33" i="14"/>
  <c r="D48" i="17"/>
  <c r="T48" i="17" s="1"/>
  <c r="Q47" i="17" l="1"/>
  <c r="E47" i="17"/>
  <c r="J47" i="17"/>
  <c r="M47" i="17"/>
  <c r="K47" i="17"/>
  <c r="O47" i="17"/>
  <c r="N47" i="17"/>
  <c r="R47" i="17"/>
  <c r="H47" i="17"/>
  <c r="P47" i="17"/>
  <c r="F47" i="17"/>
  <c r="I47" i="17"/>
  <c r="G47" i="17"/>
  <c r="S48" i="17"/>
  <c r="J131" i="30"/>
  <c r="I131" i="30"/>
  <c r="J104" i="30"/>
  <c r="I104" i="30"/>
  <c r="J77" i="30"/>
  <c r="I77" i="30"/>
  <c r="I50" i="30"/>
  <c r="J50" i="30"/>
  <c r="J23" i="30"/>
  <c r="I23" i="30"/>
  <c r="J131" i="3"/>
  <c r="I131" i="3"/>
  <c r="J104" i="3"/>
  <c r="I104" i="3"/>
  <c r="J77" i="3"/>
  <c r="I77" i="3"/>
  <c r="I50" i="3"/>
  <c r="J50" i="3"/>
  <c r="J23" i="3"/>
  <c r="I23" i="3"/>
  <c r="R34" i="14"/>
  <c r="O48" i="17" l="1"/>
  <c r="N48" i="17"/>
  <c r="Q48" i="17"/>
  <c r="R48" i="17"/>
  <c r="I48" i="17"/>
  <c r="F48" i="17"/>
  <c r="L48" i="17"/>
  <c r="P48" i="17"/>
  <c r="H48" i="17"/>
  <c r="J48" i="17"/>
  <c r="K48" i="17"/>
  <c r="E48" i="17"/>
  <c r="M48" i="17"/>
  <c r="G48" i="17"/>
  <c r="J132" i="30"/>
  <c r="I132" i="30"/>
  <c r="J105" i="30"/>
  <c r="I105" i="30"/>
  <c r="J78" i="30"/>
  <c r="I78" i="30"/>
  <c r="J51" i="30"/>
  <c r="I51" i="30"/>
  <c r="J24" i="30"/>
  <c r="I24" i="30"/>
  <c r="J132" i="3"/>
  <c r="I132" i="3"/>
  <c r="J105" i="3"/>
  <c r="I105" i="3"/>
  <c r="J78" i="3"/>
  <c r="I78" i="3"/>
  <c r="J51" i="3"/>
  <c r="I51" i="3"/>
  <c r="J24" i="3"/>
  <c r="I24" i="3"/>
  <c r="R35" i="14"/>
  <c r="R36" i="14" l="1"/>
  <c r="R37" i="14" l="1"/>
  <c r="B5" i="16" l="1"/>
  <c r="M12" i="16"/>
  <c r="D10" i="16"/>
  <c r="M10" i="16"/>
  <c r="N10" i="16" s="1"/>
  <c r="O10" i="16" s="1"/>
  <c r="P10" i="16" s="1"/>
  <c r="Q10" i="16" s="1"/>
  <c r="R10" i="16" s="1"/>
  <c r="E13" i="16"/>
  <c r="E17" i="16"/>
  <c r="D18" i="16"/>
  <c r="E19" i="16"/>
  <c r="D20" i="16"/>
  <c r="E21" i="16"/>
  <c r="D25" i="16"/>
  <c r="D26" i="16"/>
  <c r="E27" i="16"/>
  <c r="D28" i="16"/>
  <c r="E29" i="16"/>
  <c r="D31" i="16"/>
  <c r="D33" i="16"/>
  <c r="D34" i="16"/>
  <c r="E35" i="16"/>
  <c r="D36" i="16"/>
  <c r="E37" i="16"/>
  <c r="D39" i="16"/>
  <c r="D41" i="16"/>
  <c r="D42" i="16"/>
  <c r="E43" i="16"/>
  <c r="D44" i="16"/>
  <c r="E45" i="16"/>
  <c r="D47" i="16"/>
  <c r="E49" i="16"/>
  <c r="D50" i="16"/>
  <c r="D52" i="16"/>
  <c r="D53" i="16"/>
  <c r="D55" i="16"/>
  <c r="E57" i="16"/>
  <c r="D58" i="16"/>
  <c r="E59" i="16"/>
  <c r="D60" i="16"/>
  <c r="E61" i="16"/>
  <c r="D63" i="16"/>
  <c r="D65" i="16"/>
  <c r="D66" i="16"/>
  <c r="E67" i="16"/>
  <c r="D68" i="16"/>
  <c r="E69" i="16"/>
  <c r="D73" i="16"/>
  <c r="E75" i="16"/>
  <c r="D76" i="16"/>
  <c r="E81" i="16"/>
  <c r="D82" i="16"/>
  <c r="D84" i="16"/>
  <c r="E85" i="16"/>
  <c r="D87" i="16"/>
  <c r="D89" i="16"/>
  <c r="D90" i="16"/>
  <c r="D91" i="16"/>
  <c r="D92" i="16"/>
  <c r="E93" i="16"/>
  <c r="D95" i="16"/>
  <c r="E99" i="16"/>
  <c r="E100" i="16"/>
  <c r="E101" i="16"/>
  <c r="E103" i="16"/>
  <c r="E104" i="16"/>
  <c r="D105" i="16"/>
  <c r="E106" i="16"/>
  <c r="D107" i="16"/>
  <c r="E108" i="16"/>
  <c r="E109" i="16"/>
  <c r="D112" i="16"/>
  <c r="E113" i="16"/>
  <c r="E114" i="16"/>
  <c r="E115" i="16"/>
  <c r="E116" i="16"/>
  <c r="E117" i="16"/>
  <c r="D118" i="16"/>
  <c r="E119" i="16"/>
  <c r="D120" i="16"/>
  <c r="D123" i="16"/>
  <c r="D124" i="16"/>
  <c r="D125" i="16"/>
  <c r="E126" i="16"/>
  <c r="E127" i="16"/>
  <c r="D128" i="16"/>
  <c r="D129" i="16"/>
  <c r="D131" i="16"/>
  <c r="D132" i="16"/>
  <c r="D133" i="16"/>
  <c r="E134" i="16"/>
  <c r="D135" i="16"/>
  <c r="D136" i="16"/>
  <c r="D137" i="16"/>
  <c r="D139" i="16"/>
  <c r="D140" i="16"/>
  <c r="D141" i="16"/>
  <c r="E142" i="16"/>
  <c r="D143" i="16"/>
  <c r="D144" i="16"/>
  <c r="D148" i="16"/>
  <c r="D149" i="16"/>
  <c r="D150" i="16"/>
  <c r="E151" i="16"/>
  <c r="D152" i="16"/>
  <c r="D154" i="16"/>
  <c r="D155" i="16"/>
  <c r="E156" i="16"/>
  <c r="E157" i="16"/>
  <c r="D158" i="16"/>
  <c r="E159" i="16"/>
  <c r="D160" i="16"/>
  <c r="D162" i="16"/>
  <c r="D163" i="16"/>
  <c r="E164" i="16"/>
  <c r="D165" i="16"/>
  <c r="D166" i="16"/>
  <c r="E167" i="16"/>
  <c r="D168" i="16"/>
  <c r="D170" i="16"/>
  <c r="E171" i="16"/>
  <c r="E172" i="16"/>
  <c r="D173" i="16"/>
  <c r="D174" i="16"/>
  <c r="E175" i="16"/>
  <c r="D176" i="16"/>
  <c r="D178" i="16"/>
  <c r="E179" i="16"/>
  <c r="E180" i="16"/>
  <c r="E181" i="16"/>
  <c r="D182" i="16"/>
  <c r="E183" i="16"/>
  <c r="D184" i="16"/>
  <c r="D186" i="16"/>
  <c r="D187" i="16"/>
  <c r="E188" i="16"/>
  <c r="E189" i="16"/>
  <c r="D190" i="16"/>
  <c r="E191" i="16"/>
  <c r="D192" i="16"/>
  <c r="D194" i="16"/>
  <c r="D195" i="16"/>
  <c r="E196" i="16"/>
  <c r="D197" i="16"/>
  <c r="D198" i="16"/>
  <c r="E199" i="16"/>
  <c r="D200" i="16"/>
  <c r="D202" i="16"/>
  <c r="E203" i="16"/>
  <c r="D204" i="16"/>
  <c r="D206" i="16"/>
  <c r="D207" i="16"/>
  <c r="E208" i="16"/>
  <c r="D209" i="16"/>
  <c r="D210" i="16"/>
  <c r="D211" i="16"/>
  <c r="D212" i="16"/>
  <c r="D214" i="16"/>
  <c r="D215" i="16"/>
  <c r="E216" i="16"/>
  <c r="D217" i="16"/>
  <c r="E218" i="16"/>
  <c r="D219" i="16"/>
  <c r="D220" i="16"/>
  <c r="D222" i="16"/>
  <c r="D223" i="16"/>
  <c r="E224" i="16"/>
  <c r="E225" i="16"/>
  <c r="E226" i="16"/>
  <c r="D227" i="16"/>
  <c r="D228" i="16"/>
  <c r="D230" i="16"/>
  <c r="D231" i="16"/>
  <c r="E232" i="16"/>
  <c r="E233" i="16"/>
  <c r="D234" i="16"/>
  <c r="D235" i="16"/>
  <c r="D236" i="16"/>
  <c r="D237" i="16"/>
  <c r="E238" i="16"/>
  <c r="E240" i="16"/>
  <c r="E241" i="16"/>
  <c r="E242" i="16"/>
  <c r="D243" i="16"/>
  <c r="D244" i="16"/>
  <c r="D245" i="16"/>
  <c r="E246" i="16"/>
  <c r="E248" i="16"/>
  <c r="E249" i="16"/>
  <c r="D250" i="16"/>
  <c r="E251" i="16"/>
  <c r="D252" i="16"/>
  <c r="D253" i="16"/>
  <c r="D254" i="16"/>
  <c r="E255" i="16"/>
  <c r="E256" i="16"/>
  <c r="E257" i="16"/>
  <c r="E258" i="16"/>
  <c r="E259" i="16"/>
  <c r="D259" i="16"/>
  <c r="D260" i="16"/>
  <c r="D261" i="16"/>
  <c r="D262" i="16"/>
  <c r="E263" i="16"/>
  <c r="E264" i="16"/>
  <c r="D265" i="16"/>
  <c r="E266" i="16"/>
  <c r="D266" i="16"/>
  <c r="E267" i="16"/>
  <c r="D268" i="16"/>
  <c r="D269" i="16"/>
  <c r="E270" i="16"/>
  <c r="E271" i="16"/>
  <c r="E272" i="16"/>
  <c r="N9" i="16" l="1"/>
  <c r="N12" i="16" s="1"/>
  <c r="E245" i="16"/>
  <c r="D35" i="16"/>
  <c r="D270" i="16"/>
  <c r="D171" i="16"/>
  <c r="D19" i="16"/>
  <c r="E269" i="16"/>
  <c r="E24" i="16"/>
  <c r="O9" i="16"/>
  <c r="O12" i="16" s="1"/>
  <c r="E253" i="16"/>
  <c r="D241" i="16"/>
  <c r="E220" i="16"/>
  <c r="E214" i="16"/>
  <c r="D199" i="16"/>
  <c r="E97" i="16"/>
  <c r="D225" i="16"/>
  <c r="D59" i="16"/>
  <c r="E243" i="16"/>
  <c r="E217" i="16"/>
  <c r="D180" i="16"/>
  <c r="E174" i="16"/>
  <c r="D242" i="16"/>
  <c r="E228" i="16"/>
  <c r="D179" i="16"/>
  <c r="E173" i="16"/>
  <c r="E77" i="16"/>
  <c r="E124" i="16"/>
  <c r="E53" i="16"/>
  <c r="D258" i="16"/>
  <c r="E222" i="16"/>
  <c r="E204" i="16"/>
  <c r="D151" i="16"/>
  <c r="D97" i="16"/>
  <c r="E34" i="16"/>
  <c r="D27" i="16"/>
  <c r="E262" i="16"/>
  <c r="E210" i="16"/>
  <c r="D69" i="16"/>
  <c r="D45" i="16"/>
  <c r="D271" i="16"/>
  <c r="D257" i="16"/>
  <c r="D226" i="16"/>
  <c r="D203" i="16"/>
  <c r="E197" i="16"/>
  <c r="D142" i="16"/>
  <c r="D115" i="16"/>
  <c r="E96" i="16"/>
  <c r="E56" i="16"/>
  <c r="E20" i="16"/>
  <c r="E36" i="16"/>
  <c r="E265" i="16"/>
  <c r="D248" i="16"/>
  <c r="E132" i="16"/>
  <c r="E73" i="16"/>
  <c r="E12" i="16"/>
  <c r="D251" i="16"/>
  <c r="E236" i="16"/>
  <c r="D101" i="16"/>
  <c r="E68" i="16"/>
  <c r="E254" i="16"/>
  <c r="D249" i="16"/>
  <c r="E244" i="16"/>
  <c r="D224" i="16"/>
  <c r="D189" i="16"/>
  <c r="E182" i="16"/>
  <c r="D172" i="16"/>
  <c r="E152" i="16"/>
  <c r="E147" i="16"/>
  <c r="E105" i="16"/>
  <c r="D99" i="16"/>
  <c r="D88" i="16"/>
  <c r="D49" i="16"/>
  <c r="E44" i="16"/>
  <c r="D21" i="16"/>
  <c r="D267" i="16"/>
  <c r="D233" i="16"/>
  <c r="E227" i="16"/>
  <c r="E206" i="16"/>
  <c r="E195" i="16"/>
  <c r="D157" i="16"/>
  <c r="D147" i="16"/>
  <c r="D127" i="16"/>
  <c r="D81" i="16"/>
  <c r="D17" i="16"/>
  <c r="E51" i="16"/>
  <c r="D37" i="16"/>
  <c r="E28" i="16"/>
  <c r="D13" i="16"/>
  <c r="D12" i="16"/>
  <c r="E211" i="16"/>
  <c r="E163" i="16"/>
  <c r="E143" i="16"/>
  <c r="E133" i="16"/>
  <c r="E128" i="16"/>
  <c r="E91" i="16"/>
  <c r="E83" i="16"/>
  <c r="D51" i="16"/>
  <c r="E42" i="16"/>
  <c r="E90" i="16"/>
  <c r="E260" i="16"/>
  <c r="E252" i="16"/>
  <c r="D218" i="16"/>
  <c r="D181" i="16"/>
  <c r="E118" i="16"/>
  <c r="D85" i="16"/>
  <c r="D75" i="16"/>
  <c r="D57" i="16"/>
  <c r="D264" i="16"/>
  <c r="D256" i="16"/>
  <c r="E198" i="16"/>
  <c r="E165" i="16"/>
  <c r="E150" i="16"/>
  <c r="E141" i="16"/>
  <c r="E135" i="16"/>
  <c r="D113" i="16"/>
  <c r="E107" i="16"/>
  <c r="E89" i="16"/>
  <c r="E80" i="16"/>
  <c r="E66" i="16"/>
  <c r="D61" i="16"/>
  <c r="D43" i="16"/>
  <c r="D29" i="16"/>
  <c r="E25" i="16"/>
  <c r="E121" i="16"/>
  <c r="E84" i="16"/>
  <c r="E237" i="16"/>
  <c r="D208" i="16"/>
  <c r="E166" i="16"/>
  <c r="E144" i="16"/>
  <c r="D121" i="16"/>
  <c r="D96" i="16"/>
  <c r="E92" i="16"/>
  <c r="D83" i="16"/>
  <c r="D77" i="16"/>
  <c r="D67" i="16"/>
  <c r="D64" i="16"/>
  <c r="D24" i="16"/>
  <c r="D9" i="16"/>
  <c r="D188" i="16"/>
  <c r="D156" i="16"/>
  <c r="E120" i="16"/>
  <c r="E76" i="16"/>
  <c r="E60" i="16"/>
  <c r="E58" i="16"/>
  <c r="D56" i="16"/>
  <c r="E268" i="16"/>
  <c r="E261" i="16"/>
  <c r="E250" i="16"/>
  <c r="E234" i="16"/>
  <c r="E230" i="16"/>
  <c r="E219" i="16"/>
  <c r="E212" i="16"/>
  <c r="E209" i="16"/>
  <c r="E187" i="16"/>
  <c r="D164" i="16"/>
  <c r="E155" i="16"/>
  <c r="E140" i="16"/>
  <c r="E65" i="16"/>
  <c r="E41" i="16"/>
  <c r="E33" i="16"/>
  <c r="E16" i="16"/>
  <c r="E11" i="16"/>
  <c r="D238" i="16"/>
  <c r="D216" i="16"/>
  <c r="E190" i="16"/>
  <c r="E158" i="16"/>
  <c r="E136" i="16"/>
  <c r="D134" i="16"/>
  <c r="E125" i="16"/>
  <c r="D119" i="16"/>
  <c r="D109" i="16"/>
  <c r="D93" i="16"/>
  <c r="E52" i="16"/>
  <c r="D16" i="16"/>
  <c r="D11" i="16"/>
  <c r="D272" i="16"/>
  <c r="D246" i="16"/>
  <c r="D232" i="16"/>
  <c r="E229" i="16"/>
  <c r="D229" i="16"/>
  <c r="D98" i="16"/>
  <c r="E98" i="16"/>
  <c r="D110" i="16"/>
  <c r="E110" i="16"/>
  <c r="D40" i="16"/>
  <c r="E40" i="16"/>
  <c r="D239" i="16"/>
  <c r="E239" i="16"/>
  <c r="E79" i="16"/>
  <c r="D79" i="16"/>
  <c r="D201" i="16"/>
  <c r="E201" i="16"/>
  <c r="E205" i="16"/>
  <c r="D205" i="16"/>
  <c r="D193" i="16"/>
  <c r="E193" i="16"/>
  <c r="D185" i="16"/>
  <c r="E185" i="16"/>
  <c r="D177" i="16"/>
  <c r="E177" i="16"/>
  <c r="D169" i="16"/>
  <c r="E169" i="16"/>
  <c r="D161" i="16"/>
  <c r="E161" i="16"/>
  <c r="D153" i="16"/>
  <c r="E153" i="16"/>
  <c r="E146" i="16"/>
  <c r="D146" i="16"/>
  <c r="E213" i="16"/>
  <c r="D213" i="16"/>
  <c r="D191" i="16"/>
  <c r="D183" i="16"/>
  <c r="D175" i="16"/>
  <c r="D167" i="16"/>
  <c r="D159" i="16"/>
  <c r="E149" i="16"/>
  <c r="D130" i="16"/>
  <c r="E130" i="16"/>
  <c r="D247" i="16"/>
  <c r="E247" i="16"/>
  <c r="E235" i="16"/>
  <c r="D263" i="16"/>
  <c r="D255" i="16"/>
  <c r="D240" i="16"/>
  <c r="E221" i="16"/>
  <c r="D221" i="16"/>
  <c r="E71" i="16"/>
  <c r="D71" i="16"/>
  <c r="D138" i="16"/>
  <c r="E138" i="16"/>
  <c r="D106" i="16"/>
  <c r="D72" i="16"/>
  <c r="E72" i="16"/>
  <c r="E23" i="16"/>
  <c r="D23" i="16"/>
  <c r="S10" i="16"/>
  <c r="E123" i="16"/>
  <c r="D74" i="16"/>
  <c r="E74" i="16"/>
  <c r="D126" i="16"/>
  <c r="D122" i="16"/>
  <c r="E122" i="16"/>
  <c r="D102" i="16"/>
  <c r="E102" i="16"/>
  <c r="D32" i="16"/>
  <c r="E32" i="16"/>
  <c r="E231" i="16"/>
  <c r="E223" i="16"/>
  <c r="E215" i="16"/>
  <c r="E207" i="16"/>
  <c r="E202" i="16"/>
  <c r="E200" i="16"/>
  <c r="D196" i="16"/>
  <c r="E194" i="16"/>
  <c r="E192" i="16"/>
  <c r="E186" i="16"/>
  <c r="E184" i="16"/>
  <c r="E178" i="16"/>
  <c r="E176" i="16"/>
  <c r="E170" i="16"/>
  <c r="E168" i="16"/>
  <c r="E162" i="16"/>
  <c r="E160" i="16"/>
  <c r="E154" i="16"/>
  <c r="E148" i="16"/>
  <c r="E139" i="16"/>
  <c r="D114" i="16"/>
  <c r="D145" i="16"/>
  <c r="E145" i="16"/>
  <c r="D116" i="16"/>
  <c r="E112" i="16"/>
  <c r="E15" i="16"/>
  <c r="D15" i="16"/>
  <c r="E131" i="16"/>
  <c r="E111" i="16"/>
  <c r="D111" i="16"/>
  <c r="D104" i="16"/>
  <c r="D94" i="16"/>
  <c r="E94" i="16"/>
  <c r="D22" i="16"/>
  <c r="E22" i="16"/>
  <c r="E88" i="16"/>
  <c r="D86" i="16"/>
  <c r="E86" i="16"/>
  <c r="D54" i="16"/>
  <c r="E54" i="16"/>
  <c r="E47" i="16"/>
  <c r="E39" i="16"/>
  <c r="E31" i="16"/>
  <c r="D78" i="16"/>
  <c r="E78" i="16"/>
  <c r="E63" i="16"/>
  <c r="D38" i="16"/>
  <c r="E38" i="16"/>
  <c r="D30" i="16"/>
  <c r="E30" i="16"/>
  <c r="D14" i="16"/>
  <c r="E14" i="16"/>
  <c r="E137" i="16"/>
  <c r="E129" i="16"/>
  <c r="D100" i="16"/>
  <c r="E95" i="16"/>
  <c r="E82" i="16"/>
  <c r="D80" i="16"/>
  <c r="E48" i="16"/>
  <c r="D46" i="16"/>
  <c r="E46" i="16"/>
  <c r="D117" i="16"/>
  <c r="D108" i="16"/>
  <c r="D103" i="16"/>
  <c r="D70" i="16"/>
  <c r="E70" i="16"/>
  <c r="E50" i="16"/>
  <c r="D48" i="16"/>
  <c r="E87" i="16"/>
  <c r="E64" i="16"/>
  <c r="D62" i="16"/>
  <c r="E62" i="16"/>
  <c r="E55" i="16"/>
  <c r="E26" i="16"/>
  <c r="E18" i="16"/>
  <c r="E10" i="16"/>
  <c r="I3" i="8" l="1"/>
  <c r="I14" i="8"/>
  <c r="I4" i="8"/>
  <c r="I9" i="8"/>
  <c r="I7" i="8"/>
  <c r="I11" i="8"/>
  <c r="I12" i="8"/>
  <c r="I8" i="8"/>
  <c r="I5" i="8"/>
  <c r="I13" i="8"/>
  <c r="I6" i="8"/>
  <c r="I10" i="8"/>
  <c r="P9" i="16"/>
  <c r="P12" i="16" s="1"/>
  <c r="T10" i="16"/>
  <c r="B4" i="16"/>
  <c r="G32" i="16" l="1"/>
  <c r="I32" i="16" s="1"/>
  <c r="I26" i="9" s="1"/>
  <c r="G56" i="16"/>
  <c r="I56" i="16" s="1"/>
  <c r="I50" i="9" s="1"/>
  <c r="G68" i="16"/>
  <c r="I68" i="16" s="1"/>
  <c r="I62" i="9" s="1"/>
  <c r="G92" i="16"/>
  <c r="G116" i="16"/>
  <c r="G140" i="16"/>
  <c r="G44" i="16"/>
  <c r="I44" i="16" s="1"/>
  <c r="I38" i="9" s="1"/>
  <c r="G80" i="16"/>
  <c r="G104" i="16"/>
  <c r="G128" i="16"/>
  <c r="G152" i="16"/>
  <c r="G40" i="16"/>
  <c r="I40" i="16" s="1"/>
  <c r="I34" i="9" s="1"/>
  <c r="G76" i="16"/>
  <c r="G100" i="16"/>
  <c r="G124" i="16"/>
  <c r="G148" i="16"/>
  <c r="G28" i="16"/>
  <c r="G52" i="16"/>
  <c r="I52" i="16" s="1"/>
  <c r="G64" i="16"/>
  <c r="I64" i="16" s="1"/>
  <c r="I58" i="9" s="1"/>
  <c r="G88" i="16"/>
  <c r="G112" i="16"/>
  <c r="G136" i="16"/>
  <c r="G58" i="16"/>
  <c r="I58" i="16" s="1"/>
  <c r="I52" i="9" s="1"/>
  <c r="G82" i="16"/>
  <c r="G106" i="16"/>
  <c r="G130" i="16"/>
  <c r="G34" i="16"/>
  <c r="I34" i="16" s="1"/>
  <c r="I28" i="9" s="1"/>
  <c r="G70" i="16"/>
  <c r="G94" i="16"/>
  <c r="G118" i="16"/>
  <c r="G142" i="16"/>
  <c r="G22" i="16"/>
  <c r="I22" i="16" s="1"/>
  <c r="G46" i="16"/>
  <c r="I46" i="16" s="1"/>
  <c r="G41" i="16"/>
  <c r="G77" i="16"/>
  <c r="G101" i="16"/>
  <c r="G149" i="16"/>
  <c r="G29" i="16"/>
  <c r="I29" i="16" s="1"/>
  <c r="G53" i="16"/>
  <c r="I53" i="16" s="1"/>
  <c r="I47" i="9" s="1"/>
  <c r="G65" i="16"/>
  <c r="I65" i="16" s="1"/>
  <c r="I59" i="9" s="1"/>
  <c r="G89" i="16"/>
  <c r="G113" i="16"/>
  <c r="G137" i="16"/>
  <c r="G125" i="16"/>
  <c r="G39" i="16"/>
  <c r="I39" i="16" s="1"/>
  <c r="I33" i="9" s="1"/>
  <c r="G75" i="16"/>
  <c r="G99" i="16"/>
  <c r="G123" i="16"/>
  <c r="G147" i="16"/>
  <c r="G27" i="16"/>
  <c r="I27" i="16" s="1"/>
  <c r="I21" i="9" s="1"/>
  <c r="G51" i="16"/>
  <c r="I51" i="16" s="1"/>
  <c r="I45" i="9" s="1"/>
  <c r="G63" i="16"/>
  <c r="I63" i="16" s="1"/>
  <c r="I57" i="9" s="1"/>
  <c r="G87" i="16"/>
  <c r="G111" i="16"/>
  <c r="G135" i="16"/>
  <c r="G24" i="16"/>
  <c r="I24" i="16" s="1"/>
  <c r="I18" i="9" s="1"/>
  <c r="G48" i="16"/>
  <c r="I48" i="16" s="1"/>
  <c r="G60" i="16"/>
  <c r="I60" i="16" s="1"/>
  <c r="G84" i="16"/>
  <c r="G108" i="16"/>
  <c r="G132" i="16"/>
  <c r="G36" i="16"/>
  <c r="I36" i="16" s="1"/>
  <c r="G72" i="16"/>
  <c r="G96" i="16"/>
  <c r="G120" i="16"/>
  <c r="G144" i="16"/>
  <c r="G31" i="16"/>
  <c r="G55" i="16"/>
  <c r="I55" i="16" s="1"/>
  <c r="G67" i="16"/>
  <c r="I67" i="16" s="1"/>
  <c r="I61" i="9" s="1"/>
  <c r="G91" i="16"/>
  <c r="G115" i="16"/>
  <c r="G139" i="16"/>
  <c r="G43" i="16"/>
  <c r="I43" i="16" s="1"/>
  <c r="I37" i="9" s="1"/>
  <c r="G79" i="16"/>
  <c r="G103" i="16"/>
  <c r="G127" i="16"/>
  <c r="G151" i="16"/>
  <c r="G23" i="16"/>
  <c r="I23" i="16" s="1"/>
  <c r="I17" i="9" s="1"/>
  <c r="G47" i="16"/>
  <c r="I47" i="16" s="1"/>
  <c r="I41" i="9" s="1"/>
  <c r="G59" i="16"/>
  <c r="I59" i="16" s="1"/>
  <c r="I53" i="9" s="1"/>
  <c r="G83" i="16"/>
  <c r="G107" i="16"/>
  <c r="G131" i="16"/>
  <c r="G35" i="16"/>
  <c r="I35" i="16" s="1"/>
  <c r="I29" i="9" s="1"/>
  <c r="G71" i="16"/>
  <c r="G95" i="16"/>
  <c r="G119" i="16"/>
  <c r="G143" i="16"/>
  <c r="G74" i="16"/>
  <c r="G98" i="16"/>
  <c r="G122" i="16"/>
  <c r="G146" i="16"/>
  <c r="G26" i="16"/>
  <c r="I26" i="16" s="1"/>
  <c r="G62" i="16"/>
  <c r="I62" i="16" s="1"/>
  <c r="I56" i="9" s="1"/>
  <c r="G86" i="16"/>
  <c r="G110" i="16"/>
  <c r="G134" i="16"/>
  <c r="G38" i="16"/>
  <c r="G50" i="16"/>
  <c r="I50" i="16" s="1"/>
  <c r="I44" i="9" s="1"/>
  <c r="G66" i="16"/>
  <c r="I66" i="16" s="1"/>
  <c r="I60" i="9" s="1"/>
  <c r="G90" i="16"/>
  <c r="G114" i="16"/>
  <c r="G138" i="16"/>
  <c r="G42" i="16"/>
  <c r="I42" i="16" s="1"/>
  <c r="I36" i="9" s="1"/>
  <c r="G78" i="16"/>
  <c r="G102" i="16"/>
  <c r="G126" i="16"/>
  <c r="G150" i="16"/>
  <c r="G30" i="16"/>
  <c r="I30" i="16" s="1"/>
  <c r="I24" i="9" s="1"/>
  <c r="G54" i="16"/>
  <c r="I54" i="16" s="1"/>
  <c r="I48" i="9" s="1"/>
  <c r="G13" i="16"/>
  <c r="I13" i="16" s="1"/>
  <c r="G133" i="16"/>
  <c r="G25" i="16"/>
  <c r="I25" i="16" s="1"/>
  <c r="G49" i="16"/>
  <c r="I49" i="16" s="1"/>
  <c r="G61" i="16"/>
  <c r="I61" i="16" s="1"/>
  <c r="I55" i="9" s="1"/>
  <c r="G85" i="16"/>
  <c r="G109" i="16"/>
  <c r="G37" i="16"/>
  <c r="I37" i="16" s="1"/>
  <c r="I31" i="9" s="1"/>
  <c r="G73" i="16"/>
  <c r="G97" i="16"/>
  <c r="G121" i="16"/>
  <c r="G145" i="16"/>
  <c r="G57" i="16"/>
  <c r="G33" i="16"/>
  <c r="G21" i="16"/>
  <c r="G69" i="16"/>
  <c r="G93" i="16"/>
  <c r="G117" i="16"/>
  <c r="G141" i="16"/>
  <c r="G45" i="16"/>
  <c r="G81" i="16"/>
  <c r="G105" i="16"/>
  <c r="G129" i="16"/>
  <c r="G9" i="16"/>
  <c r="G20" i="16"/>
  <c r="I20" i="16" s="1"/>
  <c r="I14" i="9" s="1"/>
  <c r="G17" i="16"/>
  <c r="I17" i="16" s="1"/>
  <c r="G14" i="16"/>
  <c r="I14" i="16" s="1"/>
  <c r="G12" i="16"/>
  <c r="I12" i="16" s="1"/>
  <c r="I6" i="9" s="1"/>
  <c r="G10" i="16"/>
  <c r="G18" i="16"/>
  <c r="I18" i="16" s="1"/>
  <c r="I12" i="9" s="1"/>
  <c r="G19" i="16"/>
  <c r="I19" i="16" s="1"/>
  <c r="I13" i="9" s="1"/>
  <c r="G11" i="16"/>
  <c r="I11" i="16" s="1"/>
  <c r="I5" i="9" s="1"/>
  <c r="G16" i="16"/>
  <c r="I16" i="16" s="1"/>
  <c r="I10" i="9" s="1"/>
  <c r="G15" i="16"/>
  <c r="I15" i="16" s="1"/>
  <c r="I9" i="9" s="1"/>
  <c r="Q9" i="16"/>
  <c r="Q12" i="16" s="1"/>
  <c r="U10" i="16"/>
  <c r="F9" i="14"/>
  <c r="F8" i="14"/>
  <c r="F7" i="14"/>
  <c r="D5" i="13"/>
  <c r="D6" i="13" s="1"/>
  <c r="D7" i="13" s="1"/>
  <c r="D8" i="13" s="1"/>
  <c r="D9" i="13" s="1"/>
  <c r="D10" i="13" s="1"/>
  <c r="D11" i="13" s="1"/>
  <c r="D12" i="13" s="1"/>
  <c r="D13" i="13" s="1"/>
  <c r="D14" i="13" s="1"/>
  <c r="D15" i="13" s="1"/>
  <c r="D16" i="13" s="1"/>
  <c r="D17" i="13" s="1"/>
  <c r="D18" i="13" s="1"/>
  <c r="D19" i="13" s="1"/>
  <c r="D20" i="13" s="1"/>
  <c r="D21" i="13" s="1"/>
  <c r="D22" i="13" s="1"/>
  <c r="D23" i="13" s="1"/>
  <c r="C5" i="13"/>
  <c r="C6" i="13" s="1"/>
  <c r="C7" i="13" s="1"/>
  <c r="C8" i="13" s="1"/>
  <c r="C9" i="13" s="1"/>
  <c r="C10" i="13" s="1"/>
  <c r="C11" i="13" s="1"/>
  <c r="C12" i="13" s="1"/>
  <c r="C13" i="13" s="1"/>
  <c r="C14" i="13" s="1"/>
  <c r="C15" i="13" s="1"/>
  <c r="C16" i="13" s="1"/>
  <c r="C17" i="13" s="1"/>
  <c r="C18" i="13" s="1"/>
  <c r="C19" i="13" s="1"/>
  <c r="C20" i="13" s="1"/>
  <c r="C21" i="13" s="1"/>
  <c r="C22" i="13" s="1"/>
  <c r="C23" i="13" s="1"/>
  <c r="I45" i="16" l="1"/>
  <c r="I39" i="9" s="1"/>
  <c r="I9" i="16"/>
  <c r="I3" i="9" s="1"/>
  <c r="J20" i="9"/>
  <c r="I20" i="9"/>
  <c r="I16" i="9"/>
  <c r="J54" i="9"/>
  <c r="I54" i="9"/>
  <c r="J23" i="9"/>
  <c r="I23" i="9"/>
  <c r="J7" i="9"/>
  <c r="I7" i="9"/>
  <c r="J42" i="9"/>
  <c r="I42" i="9"/>
  <c r="J30" i="9"/>
  <c r="I30" i="9"/>
  <c r="J46" i="9"/>
  <c r="I46" i="9"/>
  <c r="J40" i="9"/>
  <c r="I40" i="9"/>
  <c r="J19" i="9"/>
  <c r="I19" i="9"/>
  <c r="J43" i="9"/>
  <c r="I43" i="9"/>
  <c r="J49" i="9"/>
  <c r="I49" i="9"/>
  <c r="J8" i="9"/>
  <c r="I8" i="9"/>
  <c r="J11" i="9"/>
  <c r="I11" i="9"/>
  <c r="J61" i="9"/>
  <c r="J39" i="9"/>
  <c r="J29" i="9"/>
  <c r="J55" i="9"/>
  <c r="J31" i="9"/>
  <c r="I21" i="16"/>
  <c r="J3" i="8"/>
  <c r="J59" i="9"/>
  <c r="I33" i="16"/>
  <c r="I27" i="9" s="1"/>
  <c r="I57" i="16"/>
  <c r="I10" i="16"/>
  <c r="J53" i="9"/>
  <c r="J21" i="9"/>
  <c r="I28" i="16"/>
  <c r="J10" i="8"/>
  <c r="J14" i="8"/>
  <c r="J33" i="9"/>
  <c r="J17" i="9"/>
  <c r="J6" i="9"/>
  <c r="J18" i="9"/>
  <c r="J34" i="9"/>
  <c r="J52" i="9"/>
  <c r="J44" i="9"/>
  <c r="J41" i="9"/>
  <c r="J47" i="9"/>
  <c r="J58" i="9"/>
  <c r="J13" i="9"/>
  <c r="J5" i="8"/>
  <c r="J48" i="9"/>
  <c r="I31" i="16"/>
  <c r="I25" i="9" s="1"/>
  <c r="J13" i="8"/>
  <c r="J28" i="9"/>
  <c r="J62" i="9"/>
  <c r="J57" i="9"/>
  <c r="J26" i="9"/>
  <c r="J45" i="9"/>
  <c r="J12" i="8"/>
  <c r="J14" i="9"/>
  <c r="J6" i="8"/>
  <c r="J24" i="9"/>
  <c r="J56" i="9"/>
  <c r="J9" i="8"/>
  <c r="J36" i="9"/>
  <c r="J37" i="9"/>
  <c r="I41" i="16"/>
  <c r="I35" i="9" s="1"/>
  <c r="J11" i="8"/>
  <c r="J50" i="9"/>
  <c r="J7" i="8"/>
  <c r="I38" i="16"/>
  <c r="I32" i="9" s="1"/>
  <c r="J8" i="8"/>
  <c r="J4" i="8"/>
  <c r="J12" i="9"/>
  <c r="J9" i="9"/>
  <c r="J5" i="9"/>
  <c r="J10" i="9"/>
  <c r="J38" i="9"/>
  <c r="J60" i="9"/>
  <c r="J16" i="9"/>
  <c r="B5" i="13"/>
  <c r="R9" i="16"/>
  <c r="R12" i="16" s="1"/>
  <c r="C223" i="9"/>
  <c r="E223" i="9" s="1"/>
  <c r="V10" i="16"/>
  <c r="D264" i="9"/>
  <c r="D41" i="8"/>
  <c r="D176" i="9"/>
  <c r="C186" i="9"/>
  <c r="E186" i="9" s="1"/>
  <c r="C86" i="9"/>
  <c r="E86" i="9" s="1"/>
  <c r="C137" i="9"/>
  <c r="E137" i="9" s="1"/>
  <c r="D28" i="8"/>
  <c r="C201" i="9"/>
  <c r="E201" i="9" s="1"/>
  <c r="C166" i="9"/>
  <c r="E166" i="9" s="1"/>
  <c r="D31" i="8"/>
  <c r="D54" i="9"/>
  <c r="D102" i="9"/>
  <c r="C140" i="9"/>
  <c r="E140" i="9" s="1"/>
  <c r="D32" i="8"/>
  <c r="C179" i="9"/>
  <c r="E179" i="9" s="1"/>
  <c r="D19" i="8"/>
  <c r="D144" i="9"/>
  <c r="C232" i="9"/>
  <c r="E232" i="9" s="1"/>
  <c r="C248" i="9"/>
  <c r="E248" i="9" s="1"/>
  <c r="D250" i="9"/>
  <c r="C233" i="9"/>
  <c r="E233" i="9" s="1"/>
  <c r="D161" i="9"/>
  <c r="D30" i="8"/>
  <c r="D164" i="9"/>
  <c r="C199" i="9"/>
  <c r="E199" i="9" s="1"/>
  <c r="D219" i="9"/>
  <c r="C94" i="9"/>
  <c r="E94" i="9" s="1"/>
  <c r="C259" i="9"/>
  <c r="E259" i="9" s="1"/>
  <c r="A16" i="7"/>
  <c r="A17" i="7" s="1"/>
  <c r="A18" i="7" s="1"/>
  <c r="A19" i="7" s="1"/>
  <c r="A20" i="7" s="1"/>
  <c r="A21" i="7" s="1"/>
  <c r="D157" i="9"/>
  <c r="C64" i="9"/>
  <c r="E64" i="9" s="1"/>
  <c r="D192" i="9"/>
  <c r="C35" i="9"/>
  <c r="E35" i="9" s="1"/>
  <c r="C132" i="9"/>
  <c r="E132" i="9" s="1"/>
  <c r="D206" i="9"/>
  <c r="C80" i="9"/>
  <c r="E80" i="9" s="1"/>
  <c r="C263" i="9"/>
  <c r="E263" i="9" s="1"/>
  <c r="C135" i="9"/>
  <c r="E135" i="9" s="1"/>
  <c r="D13" i="8"/>
  <c r="D208" i="9"/>
  <c r="D244" i="9"/>
  <c r="D16" i="8"/>
  <c r="D6" i="8"/>
  <c r="C152" i="9"/>
  <c r="E152" i="9" s="1"/>
  <c r="C221" i="9"/>
  <c r="E221" i="9" s="1"/>
  <c r="C119" i="9"/>
  <c r="E119" i="9" s="1"/>
  <c r="J3" i="9" l="1"/>
  <c r="H262" i="16"/>
  <c r="H70" i="16"/>
  <c r="H58" i="16"/>
  <c r="H46" i="16"/>
  <c r="H34" i="16"/>
  <c r="H22" i="16"/>
  <c r="H10" i="16"/>
  <c r="H250" i="16"/>
  <c r="H266" i="16"/>
  <c r="H74" i="16"/>
  <c r="H62" i="16"/>
  <c r="H50" i="16"/>
  <c r="H38" i="16"/>
  <c r="H26" i="16"/>
  <c r="H14" i="16"/>
  <c r="H254" i="16"/>
  <c r="H265" i="16"/>
  <c r="H73" i="16"/>
  <c r="H61" i="16"/>
  <c r="H49" i="16"/>
  <c r="H37" i="16"/>
  <c r="H25" i="16"/>
  <c r="H13" i="16"/>
  <c r="H253" i="16"/>
  <c r="H269" i="16"/>
  <c r="H77" i="16"/>
  <c r="H65" i="16"/>
  <c r="H53" i="16"/>
  <c r="H41" i="16"/>
  <c r="H29" i="16"/>
  <c r="H17" i="16"/>
  <c r="H257" i="16"/>
  <c r="H267" i="16"/>
  <c r="H75" i="16"/>
  <c r="H63" i="16"/>
  <c r="H51" i="16"/>
  <c r="H39" i="16"/>
  <c r="H27" i="16"/>
  <c r="H15" i="16"/>
  <c r="H255" i="16"/>
  <c r="H264" i="16"/>
  <c r="H72" i="16"/>
  <c r="H60" i="16"/>
  <c r="H48" i="16"/>
  <c r="H36" i="16"/>
  <c r="H24" i="16"/>
  <c r="H12" i="16"/>
  <c r="H252" i="16"/>
  <c r="H270" i="16"/>
  <c r="H78" i="16"/>
  <c r="H66" i="16"/>
  <c r="H54" i="16"/>
  <c r="H42" i="16"/>
  <c r="H30" i="16"/>
  <c r="H18" i="16"/>
  <c r="H258" i="16"/>
  <c r="H271" i="16"/>
  <c r="H79" i="16"/>
  <c r="H67" i="16"/>
  <c r="H55" i="16"/>
  <c r="H43" i="16"/>
  <c r="H31" i="16"/>
  <c r="H19" i="16"/>
  <c r="H259" i="16"/>
  <c r="H263" i="16"/>
  <c r="H71" i="16"/>
  <c r="H59" i="16"/>
  <c r="H47" i="16"/>
  <c r="H35" i="16"/>
  <c r="H23" i="16"/>
  <c r="H11" i="16"/>
  <c r="H251" i="16"/>
  <c r="H272" i="16"/>
  <c r="H80" i="16"/>
  <c r="H68" i="16"/>
  <c r="H56" i="16"/>
  <c r="H44" i="16"/>
  <c r="H32" i="16"/>
  <c r="H20" i="16"/>
  <c r="H260" i="16"/>
  <c r="H268" i="16"/>
  <c r="H76" i="16"/>
  <c r="H64" i="16"/>
  <c r="H52" i="16"/>
  <c r="H40" i="16"/>
  <c r="H28" i="16"/>
  <c r="H16" i="16"/>
  <c r="H256" i="16"/>
  <c r="H261" i="16"/>
  <c r="H81" i="16"/>
  <c r="H69" i="16"/>
  <c r="I69" i="16" s="1"/>
  <c r="H57" i="16"/>
  <c r="H45" i="16"/>
  <c r="H33" i="16"/>
  <c r="H21" i="16"/>
  <c r="H9" i="16"/>
  <c r="H249" i="16"/>
  <c r="S8" i="14"/>
  <c r="S9" i="14"/>
  <c r="S10" i="14"/>
  <c r="S11" i="14"/>
  <c r="S12" i="14"/>
  <c r="S13" i="14"/>
  <c r="S14" i="14"/>
  <c r="S15" i="14"/>
  <c r="S16" i="14"/>
  <c r="S17" i="14"/>
  <c r="S18" i="14"/>
  <c r="S19" i="14"/>
  <c r="S20" i="14"/>
  <c r="S21" i="14"/>
  <c r="S22" i="14"/>
  <c r="S23" i="14"/>
  <c r="S24" i="14"/>
  <c r="S25" i="14"/>
  <c r="S26" i="14"/>
  <c r="S27" i="14"/>
  <c r="S28" i="14"/>
  <c r="S29" i="14"/>
  <c r="S30" i="14"/>
  <c r="S31" i="14"/>
  <c r="S32" i="14"/>
  <c r="S33" i="14"/>
  <c r="S34" i="14"/>
  <c r="S35" i="14"/>
  <c r="S36" i="14"/>
  <c r="S37" i="14"/>
  <c r="I51" i="9"/>
  <c r="I15" i="9"/>
  <c r="I4" i="9"/>
  <c r="J22" i="9"/>
  <c r="I22" i="9"/>
  <c r="O34" i="3"/>
  <c r="O61" i="3"/>
  <c r="B6" i="13"/>
  <c r="B7" i="13" s="1"/>
  <c r="B8" i="13" s="1"/>
  <c r="B9" i="13" s="1"/>
  <c r="B10" i="13" s="1"/>
  <c r="B11" i="13" s="1"/>
  <c r="B12" i="13" s="1"/>
  <c r="B13" i="13" s="1"/>
  <c r="B14" i="13" s="1"/>
  <c r="B15" i="13" s="1"/>
  <c r="B16" i="13" s="1"/>
  <c r="B17" i="13" s="1"/>
  <c r="B18" i="13" s="1"/>
  <c r="B19" i="13" s="1"/>
  <c r="B20" i="13" s="1"/>
  <c r="B21" i="13" s="1"/>
  <c r="B22" i="13" s="1"/>
  <c r="B23" i="13" s="1"/>
  <c r="M117" i="3"/>
  <c r="M35" i="3"/>
  <c r="M89" i="3"/>
  <c r="M61" i="3"/>
  <c r="M90" i="3"/>
  <c r="M62" i="3"/>
  <c r="M34" i="3"/>
  <c r="M63" i="3"/>
  <c r="M36" i="3"/>
  <c r="M33" i="3"/>
  <c r="M7" i="3"/>
  <c r="M8" i="3"/>
  <c r="M9" i="3"/>
  <c r="J4" i="9"/>
  <c r="O5" i="3"/>
  <c r="J27" i="9"/>
  <c r="J51" i="9"/>
  <c r="O8" i="30"/>
  <c r="O7" i="3"/>
  <c r="J25" i="9"/>
  <c r="J32" i="9"/>
  <c r="J15" i="9"/>
  <c r="J35" i="9"/>
  <c r="I9" i="5"/>
  <c r="G9" i="9" s="1"/>
  <c r="I13" i="5"/>
  <c r="G13" i="9" s="1"/>
  <c r="G3" i="9"/>
  <c r="I5" i="5"/>
  <c r="G5" i="9" s="1"/>
  <c r="I4" i="5"/>
  <c r="G4" i="9" s="1"/>
  <c r="C54" i="9"/>
  <c r="E54" i="9" s="1"/>
  <c r="D132" i="9"/>
  <c r="D233" i="9"/>
  <c r="D186" i="9"/>
  <c r="D221" i="9"/>
  <c r="D31" i="5"/>
  <c r="C176" i="9"/>
  <c r="E176" i="9" s="1"/>
  <c r="C43" i="5"/>
  <c r="C244" i="9"/>
  <c r="E244" i="9" s="1"/>
  <c r="D119" i="9"/>
  <c r="C51" i="5"/>
  <c r="D223" i="9"/>
  <c r="C208" i="9"/>
  <c r="E208" i="9" s="1"/>
  <c r="C45" i="5"/>
  <c r="C157" i="9"/>
  <c r="E157" i="9" s="1"/>
  <c r="D23" i="5"/>
  <c r="D179" i="9"/>
  <c r="S9" i="16"/>
  <c r="S12" i="16" s="1"/>
  <c r="H86" i="16" s="1"/>
  <c r="H10" i="5"/>
  <c r="I10" i="5"/>
  <c r="G10" i="9" s="1"/>
  <c r="H6" i="5"/>
  <c r="I6" i="5"/>
  <c r="G6" i="9" s="1"/>
  <c r="H8" i="5"/>
  <c r="I8" i="5"/>
  <c r="G8" i="9" s="1"/>
  <c r="I16" i="5"/>
  <c r="H7" i="5"/>
  <c r="I7" i="5"/>
  <c r="G7" i="9" s="1"/>
  <c r="H11" i="5"/>
  <c r="I11" i="5"/>
  <c r="H14" i="5"/>
  <c r="I14" i="5"/>
  <c r="G14" i="9" s="1"/>
  <c r="C47" i="5"/>
  <c r="H12" i="5"/>
  <c r="I12" i="5"/>
  <c r="G12" i="9" s="1"/>
  <c r="D45" i="5"/>
  <c r="D4" i="5"/>
  <c r="H4" i="5"/>
  <c r="H16" i="5" s="1"/>
  <c r="D50" i="5"/>
  <c r="D34" i="5"/>
  <c r="D44" i="5"/>
  <c r="D5" i="5"/>
  <c r="H5" i="5"/>
  <c r="D13" i="5"/>
  <c r="H13" i="5"/>
  <c r="C13" i="5"/>
  <c r="D47" i="5"/>
  <c r="D39" i="5"/>
  <c r="D18" i="5"/>
  <c r="C31" i="5"/>
  <c r="D43" i="5"/>
  <c r="D9" i="5"/>
  <c r="H9" i="5"/>
  <c r="D36" i="5"/>
  <c r="D51" i="5"/>
  <c r="C23" i="5"/>
  <c r="D135" i="9"/>
  <c r="D232" i="9"/>
  <c r="D86" i="9"/>
  <c r="D137" i="9"/>
  <c r="D140" i="9"/>
  <c r="D64" i="9"/>
  <c r="C161" i="9"/>
  <c r="E161" i="9" s="1"/>
  <c r="D94" i="9"/>
  <c r="D35" i="9"/>
  <c r="C144" i="9"/>
  <c r="E144" i="9" s="1"/>
  <c r="C5" i="5"/>
  <c r="D166" i="9"/>
  <c r="D263" i="9"/>
  <c r="D248" i="9"/>
  <c r="W10" i="16"/>
  <c r="C116" i="9"/>
  <c r="E116" i="9" s="1"/>
  <c r="D116" i="9"/>
  <c r="D68" i="9"/>
  <c r="C68" i="9"/>
  <c r="E68" i="9" s="1"/>
  <c r="C3" i="9"/>
  <c r="E3" i="9" s="1"/>
  <c r="C51" i="9"/>
  <c r="E51" i="9" s="1"/>
  <c r="D51" i="9"/>
  <c r="D36" i="8"/>
  <c r="C203" i="9"/>
  <c r="E203" i="9" s="1"/>
  <c r="D203" i="9"/>
  <c r="D37" i="8"/>
  <c r="D238" i="9"/>
  <c r="C238" i="9"/>
  <c r="E238" i="9" s="1"/>
  <c r="C242" i="9"/>
  <c r="E242" i="9" s="1"/>
  <c r="D242" i="9"/>
  <c r="C47" i="9"/>
  <c r="E47" i="9" s="1"/>
  <c r="D47" i="9"/>
  <c r="D28" i="9"/>
  <c r="C28" i="9"/>
  <c r="E28" i="9" s="1"/>
  <c r="D17" i="9"/>
  <c r="C17" i="9"/>
  <c r="E17" i="9" s="1"/>
  <c r="C67" i="9"/>
  <c r="E67" i="9" s="1"/>
  <c r="D67" i="9"/>
  <c r="D84" i="9"/>
  <c r="C84" i="9"/>
  <c r="E84" i="9" s="1"/>
  <c r="C113" i="9"/>
  <c r="E113" i="9" s="1"/>
  <c r="D113" i="9"/>
  <c r="C154" i="9"/>
  <c r="E154" i="9" s="1"/>
  <c r="D154" i="9"/>
  <c r="D41" i="5"/>
  <c r="C41" i="5"/>
  <c r="D61" i="5"/>
  <c r="C61" i="5"/>
  <c r="D52" i="9"/>
  <c r="C52" i="9"/>
  <c r="E52" i="9" s="1"/>
  <c r="D18" i="8"/>
  <c r="D101" i="9"/>
  <c r="C101" i="9"/>
  <c r="E101" i="9" s="1"/>
  <c r="D15" i="8"/>
  <c r="C250" i="9"/>
  <c r="E250" i="9" s="1"/>
  <c r="C183" i="9"/>
  <c r="E183" i="9" s="1"/>
  <c r="D183" i="9"/>
  <c r="D48" i="8"/>
  <c r="D146" i="9"/>
  <c r="C146" i="9"/>
  <c r="E146" i="9" s="1"/>
  <c r="D55" i="9"/>
  <c r="C55" i="9"/>
  <c r="E55" i="9" s="1"/>
  <c r="D8" i="8"/>
  <c r="D226" i="9"/>
  <c r="C226" i="9"/>
  <c r="E226" i="9" s="1"/>
  <c r="C206" i="9"/>
  <c r="E206" i="9" s="1"/>
  <c r="D258" i="9"/>
  <c r="C258" i="9"/>
  <c r="E258" i="9" s="1"/>
  <c r="D21" i="8"/>
  <c r="C115" i="9"/>
  <c r="E115" i="9" s="1"/>
  <c r="D115" i="9"/>
  <c r="C240" i="9"/>
  <c r="E240" i="9" s="1"/>
  <c r="D240" i="9"/>
  <c r="C48" i="9"/>
  <c r="E48" i="9" s="1"/>
  <c r="D48" i="9"/>
  <c r="D174" i="9"/>
  <c r="C174" i="9"/>
  <c r="E174" i="9" s="1"/>
  <c r="C191" i="9"/>
  <c r="E191" i="9" s="1"/>
  <c r="D191" i="9"/>
  <c r="D33" i="9"/>
  <c r="C33" i="9"/>
  <c r="E33" i="9" s="1"/>
  <c r="C4" i="9"/>
  <c r="E4" i="9" s="1"/>
  <c r="D4" i="9"/>
  <c r="D92" i="9"/>
  <c r="C92" i="9"/>
  <c r="E92" i="9" s="1"/>
  <c r="D181" i="9"/>
  <c r="C181" i="9"/>
  <c r="E181" i="9" s="1"/>
  <c r="D23" i="9"/>
  <c r="C23" i="9"/>
  <c r="E23" i="9" s="1"/>
  <c r="D69" i="9"/>
  <c r="C69" i="9"/>
  <c r="E69" i="9" s="1"/>
  <c r="C241" i="9"/>
  <c r="E241" i="9" s="1"/>
  <c r="D241" i="9"/>
  <c r="C44" i="9"/>
  <c r="E44" i="9" s="1"/>
  <c r="D44" i="9"/>
  <c r="D65" i="9"/>
  <c r="C65" i="9"/>
  <c r="E65" i="9" s="1"/>
  <c r="D42" i="8"/>
  <c r="C123" i="9"/>
  <c r="E123" i="9" s="1"/>
  <c r="D123" i="9"/>
  <c r="C66" i="9"/>
  <c r="E66" i="9" s="1"/>
  <c r="D66" i="9"/>
  <c r="D50" i="8"/>
  <c r="D15" i="5"/>
  <c r="C15" i="5"/>
  <c r="D53" i="5"/>
  <c r="C53" i="5"/>
  <c r="C228" i="9"/>
  <c r="E228" i="9" s="1"/>
  <c r="D228" i="9"/>
  <c r="D61" i="9"/>
  <c r="C61" i="9"/>
  <c r="E61" i="9" s="1"/>
  <c r="D25" i="8"/>
  <c r="D29" i="9"/>
  <c r="C29" i="9"/>
  <c r="E29" i="9" s="1"/>
  <c r="D246" i="9"/>
  <c r="C246" i="9"/>
  <c r="E246" i="9" s="1"/>
  <c r="C139" i="9"/>
  <c r="E139" i="9" s="1"/>
  <c r="D139" i="9"/>
  <c r="C189" i="9"/>
  <c r="E189" i="9" s="1"/>
  <c r="D189" i="9"/>
  <c r="D42" i="5"/>
  <c r="C42" i="5"/>
  <c r="C178" i="9"/>
  <c r="E178" i="9" s="1"/>
  <c r="D178" i="9"/>
  <c r="D247" i="9"/>
  <c r="C247" i="9"/>
  <c r="E247" i="9" s="1"/>
  <c r="C26" i="5"/>
  <c r="D26" i="5"/>
  <c r="D200" i="9"/>
  <c r="C200" i="9"/>
  <c r="E200" i="9" s="1"/>
  <c r="C256" i="9"/>
  <c r="E256" i="9" s="1"/>
  <c r="D256" i="9"/>
  <c r="D59" i="5"/>
  <c r="C59" i="5"/>
  <c r="D46" i="5"/>
  <c r="C46" i="5"/>
  <c r="C5" i="9"/>
  <c r="E5" i="9" s="1"/>
  <c r="D5" i="9"/>
  <c r="D43" i="8"/>
  <c r="D199" i="9"/>
  <c r="C264" i="9"/>
  <c r="E264" i="9" s="1"/>
  <c r="D15" i="9"/>
  <c r="C15" i="9"/>
  <c r="E15" i="9" s="1"/>
  <c r="D209" i="9"/>
  <c r="C209" i="9"/>
  <c r="E209" i="9" s="1"/>
  <c r="D13" i="9"/>
  <c r="C13" i="9"/>
  <c r="E13" i="9" s="1"/>
  <c r="C120" i="9"/>
  <c r="E120" i="9" s="1"/>
  <c r="D120" i="9"/>
  <c r="C56" i="5"/>
  <c r="D56" i="5"/>
  <c r="D182" i="9"/>
  <c r="C182" i="9"/>
  <c r="E182" i="9" s="1"/>
  <c r="C252" i="9"/>
  <c r="E252" i="9" s="1"/>
  <c r="D252" i="9"/>
  <c r="D56" i="9"/>
  <c r="C56" i="9"/>
  <c r="E56" i="9" s="1"/>
  <c r="C158" i="9"/>
  <c r="E158" i="9" s="1"/>
  <c r="D158" i="9"/>
  <c r="D77" i="9"/>
  <c r="C77" i="9"/>
  <c r="E77" i="9" s="1"/>
  <c r="C58" i="5"/>
  <c r="D58" i="5"/>
  <c r="D149" i="9"/>
  <c r="C149" i="9"/>
  <c r="E149" i="9" s="1"/>
  <c r="D40" i="8"/>
  <c r="D148" i="9"/>
  <c r="C148" i="9"/>
  <c r="E148" i="9" s="1"/>
  <c r="D261" i="9"/>
  <c r="C261" i="9"/>
  <c r="E261" i="9" s="1"/>
  <c r="D24" i="9"/>
  <c r="C24" i="9"/>
  <c r="E24" i="9" s="1"/>
  <c r="D37" i="9"/>
  <c r="C37" i="9"/>
  <c r="E37" i="9" s="1"/>
  <c r="D142" i="9"/>
  <c r="C142" i="9"/>
  <c r="E142" i="9" s="1"/>
  <c r="C253" i="9"/>
  <c r="E253" i="9" s="1"/>
  <c r="D253" i="9"/>
  <c r="C76" i="9"/>
  <c r="E76" i="9" s="1"/>
  <c r="D76" i="9"/>
  <c r="C136" i="9"/>
  <c r="E136" i="9" s="1"/>
  <c r="D136" i="9"/>
  <c r="D259" i="9"/>
  <c r="C151" i="9"/>
  <c r="E151" i="9" s="1"/>
  <c r="D151" i="9"/>
  <c r="D23" i="8"/>
  <c r="D172" i="9"/>
  <c r="C172" i="9"/>
  <c r="E172" i="9" s="1"/>
  <c r="D39" i="8"/>
  <c r="D6" i="5"/>
  <c r="C6" i="5"/>
  <c r="D60" i="5"/>
  <c r="C60" i="5"/>
  <c r="D255" i="9"/>
  <c r="C255" i="9"/>
  <c r="E255" i="9" s="1"/>
  <c r="D42" i="9"/>
  <c r="C42" i="9"/>
  <c r="E42" i="9" s="1"/>
  <c r="C160" i="9"/>
  <c r="E160" i="9" s="1"/>
  <c r="D160" i="9"/>
  <c r="D46" i="8"/>
  <c r="C204" i="9"/>
  <c r="E204" i="9" s="1"/>
  <c r="D204" i="9"/>
  <c r="C32" i="9"/>
  <c r="E32" i="9" s="1"/>
  <c r="D32" i="9"/>
  <c r="D53" i="9"/>
  <c r="C53" i="9"/>
  <c r="E53" i="9" s="1"/>
  <c r="D110" i="9"/>
  <c r="C110" i="9"/>
  <c r="E110" i="9" s="1"/>
  <c r="C195" i="9"/>
  <c r="E195" i="9" s="1"/>
  <c r="D195" i="9"/>
  <c r="C159" i="9"/>
  <c r="E159" i="9" s="1"/>
  <c r="D159" i="9"/>
  <c r="C8" i="9"/>
  <c r="E8" i="9" s="1"/>
  <c r="D8" i="9"/>
  <c r="D184" i="9"/>
  <c r="C184" i="9"/>
  <c r="E184" i="9" s="1"/>
  <c r="C24" i="5"/>
  <c r="D24" i="5"/>
  <c r="D106" i="9"/>
  <c r="C106" i="9"/>
  <c r="E106" i="9" s="1"/>
  <c r="C71" i="9"/>
  <c r="E71" i="9" s="1"/>
  <c r="D71" i="9"/>
  <c r="C31" i="9"/>
  <c r="E31" i="9" s="1"/>
  <c r="D31" i="9"/>
  <c r="C28" i="5"/>
  <c r="D28" i="5"/>
  <c r="D12" i="8"/>
  <c r="C46" i="9"/>
  <c r="E46" i="9" s="1"/>
  <c r="D46" i="9"/>
  <c r="D25" i="5"/>
  <c r="C25" i="5"/>
  <c r="C16" i="5"/>
  <c r="D16" i="5"/>
  <c r="C63" i="9"/>
  <c r="E63" i="9" s="1"/>
  <c r="D63" i="9"/>
  <c r="C235" i="9"/>
  <c r="E235" i="9" s="1"/>
  <c r="D235" i="9"/>
  <c r="D26" i="9"/>
  <c r="C26" i="9"/>
  <c r="E26" i="9" s="1"/>
  <c r="C145" i="9"/>
  <c r="E145" i="9" s="1"/>
  <c r="D145" i="9"/>
  <c r="D180" i="9"/>
  <c r="C180" i="9"/>
  <c r="E180" i="9" s="1"/>
  <c r="D6" i="9"/>
  <c r="C6" i="9"/>
  <c r="E6" i="9" s="1"/>
  <c r="D4" i="8"/>
  <c r="D167" i="9"/>
  <c r="C167" i="9"/>
  <c r="E167" i="9" s="1"/>
  <c r="C11" i="9"/>
  <c r="E11" i="9" s="1"/>
  <c r="D11" i="9"/>
  <c r="C43" i="9"/>
  <c r="E43" i="9" s="1"/>
  <c r="D43" i="9"/>
  <c r="D14" i="8"/>
  <c r="C124" i="9"/>
  <c r="E124" i="9" s="1"/>
  <c r="D124" i="9"/>
  <c r="D98" i="9"/>
  <c r="C98" i="9"/>
  <c r="E98" i="9" s="1"/>
  <c r="D231" i="9"/>
  <c r="C231" i="9"/>
  <c r="E231" i="9" s="1"/>
  <c r="D147" i="9"/>
  <c r="C147" i="9"/>
  <c r="E147" i="9" s="1"/>
  <c r="C30" i="5"/>
  <c r="D30" i="5"/>
  <c r="D230" i="9"/>
  <c r="C230" i="9"/>
  <c r="E230" i="9" s="1"/>
  <c r="C190" i="9"/>
  <c r="E190" i="9" s="1"/>
  <c r="D190" i="9"/>
  <c r="C177" i="9"/>
  <c r="E177" i="9" s="1"/>
  <c r="D177" i="9"/>
  <c r="D104" i="9"/>
  <c r="C104" i="9"/>
  <c r="E104" i="9" s="1"/>
  <c r="C20" i="9"/>
  <c r="E20" i="9" s="1"/>
  <c r="D20" i="9"/>
  <c r="C265" i="9"/>
  <c r="E265" i="9" s="1"/>
  <c r="D265" i="9"/>
  <c r="C99" i="9"/>
  <c r="E99" i="9" s="1"/>
  <c r="D99" i="9"/>
  <c r="C85" i="9"/>
  <c r="E85" i="9" s="1"/>
  <c r="D85" i="9"/>
  <c r="D211" i="9"/>
  <c r="C211" i="9"/>
  <c r="E211" i="9" s="1"/>
  <c r="C22" i="9"/>
  <c r="E22" i="9" s="1"/>
  <c r="D22" i="9"/>
  <c r="D33" i="8"/>
  <c r="C215" i="9"/>
  <c r="E215" i="9" s="1"/>
  <c r="D215" i="9"/>
  <c r="D122" i="9"/>
  <c r="C122" i="9"/>
  <c r="E122" i="9" s="1"/>
  <c r="C70" i="9"/>
  <c r="E70" i="9" s="1"/>
  <c r="D70" i="9"/>
  <c r="C36" i="5"/>
  <c r="C185" i="9"/>
  <c r="E185" i="9" s="1"/>
  <c r="D185" i="9"/>
  <c r="D21" i="5"/>
  <c r="C21" i="5"/>
  <c r="C129" i="9"/>
  <c r="E129" i="9" s="1"/>
  <c r="D129" i="9"/>
  <c r="C107" i="9"/>
  <c r="E107" i="9" s="1"/>
  <c r="D107" i="9"/>
  <c r="D197" i="9"/>
  <c r="C197" i="9"/>
  <c r="E197" i="9" s="1"/>
  <c r="D254" i="9"/>
  <c r="C254" i="9"/>
  <c r="E254" i="9" s="1"/>
  <c r="D127" i="9"/>
  <c r="C127" i="9"/>
  <c r="E127" i="9" s="1"/>
  <c r="C225" i="9"/>
  <c r="E225" i="9" s="1"/>
  <c r="D225" i="9"/>
  <c r="D87" i="9"/>
  <c r="C87" i="9"/>
  <c r="E87" i="9" s="1"/>
  <c r="C62" i="9"/>
  <c r="E62" i="9" s="1"/>
  <c r="D62" i="9"/>
  <c r="C105" i="9"/>
  <c r="E105" i="9" s="1"/>
  <c r="D105" i="9"/>
  <c r="C153" i="9"/>
  <c r="E153" i="9" s="1"/>
  <c r="D153" i="9"/>
  <c r="D245" i="9"/>
  <c r="C245" i="9"/>
  <c r="E245" i="9" s="1"/>
  <c r="C217" i="9"/>
  <c r="E217" i="9" s="1"/>
  <c r="D217" i="9"/>
  <c r="C156" i="9"/>
  <c r="E156" i="9" s="1"/>
  <c r="D156" i="9"/>
  <c r="D126" i="9"/>
  <c r="C126" i="9"/>
  <c r="E126" i="9" s="1"/>
  <c r="D138" i="9"/>
  <c r="C138" i="9"/>
  <c r="E138" i="9" s="1"/>
  <c r="C236" i="9"/>
  <c r="E236" i="9" s="1"/>
  <c r="D236" i="9"/>
  <c r="C243" i="9"/>
  <c r="E243" i="9" s="1"/>
  <c r="D243" i="9"/>
  <c r="C196" i="9"/>
  <c r="E196" i="9" s="1"/>
  <c r="D196" i="9"/>
  <c r="D11" i="8"/>
  <c r="C58" i="9"/>
  <c r="E58" i="9" s="1"/>
  <c r="D58" i="9"/>
  <c r="C38" i="9"/>
  <c r="E38" i="9" s="1"/>
  <c r="D38" i="9"/>
  <c r="C18" i="9"/>
  <c r="D18" i="9"/>
  <c r="D57" i="5"/>
  <c r="C57" i="5"/>
  <c r="D59" i="9"/>
  <c r="C59" i="9"/>
  <c r="E59" i="9" s="1"/>
  <c r="D34" i="8"/>
  <c r="D29" i="5"/>
  <c r="C29" i="5"/>
  <c r="D17" i="8"/>
  <c r="D47" i="8"/>
  <c r="D175" i="9"/>
  <c r="C175" i="9"/>
  <c r="E175" i="9" s="1"/>
  <c r="D20" i="5"/>
  <c r="C20" i="5"/>
  <c r="C36" i="9"/>
  <c r="E36" i="9" s="1"/>
  <c r="D36" i="9"/>
  <c r="D188" i="9"/>
  <c r="C188" i="9"/>
  <c r="E188" i="9" s="1"/>
  <c r="D218" i="9"/>
  <c r="C218" i="9"/>
  <c r="E218" i="9" s="1"/>
  <c r="D162" i="9"/>
  <c r="C162" i="9"/>
  <c r="E162" i="9" s="1"/>
  <c r="D22" i="8"/>
  <c r="C48" i="5"/>
  <c r="D48" i="5"/>
  <c r="C262" i="9"/>
  <c r="E262" i="9" s="1"/>
  <c r="D262" i="9"/>
  <c r="C4" i="5"/>
  <c r="C164" i="9"/>
  <c r="E164" i="9" s="1"/>
  <c r="C18" i="5"/>
  <c r="C34" i="5"/>
  <c r="D152" i="9"/>
  <c r="D81" i="9"/>
  <c r="C81" i="9"/>
  <c r="E81" i="9" s="1"/>
  <c r="D38" i="8"/>
  <c r="C207" i="9"/>
  <c r="E207" i="9" s="1"/>
  <c r="D207" i="9"/>
  <c r="C227" i="9"/>
  <c r="E227" i="9" s="1"/>
  <c r="D227" i="9"/>
  <c r="D75" i="9"/>
  <c r="C75" i="9"/>
  <c r="E75" i="9" s="1"/>
  <c r="D55" i="5"/>
  <c r="C55" i="5"/>
  <c r="C90" i="9"/>
  <c r="E90" i="9" s="1"/>
  <c r="D90" i="9"/>
  <c r="D29" i="8"/>
  <c r="D213" i="9"/>
  <c r="C213" i="9"/>
  <c r="E213" i="9" s="1"/>
  <c r="D30" i="9"/>
  <c r="C30" i="9"/>
  <c r="E30" i="9" s="1"/>
  <c r="C102" i="9"/>
  <c r="E102" i="9" s="1"/>
  <c r="C9" i="5"/>
  <c r="C219" i="9"/>
  <c r="E219" i="9" s="1"/>
  <c r="D10" i="8"/>
  <c r="C210" i="9"/>
  <c r="E210" i="9" s="1"/>
  <c r="D210" i="9"/>
  <c r="D173" i="9"/>
  <c r="C173" i="9"/>
  <c r="E173" i="9" s="1"/>
  <c r="D10" i="9"/>
  <c r="C10" i="9"/>
  <c r="E10" i="9" s="1"/>
  <c r="C109" i="9"/>
  <c r="E109" i="9" s="1"/>
  <c r="D109" i="9"/>
  <c r="C193" i="9"/>
  <c r="E193" i="9" s="1"/>
  <c r="D193" i="9"/>
  <c r="D27" i="9"/>
  <c r="C27" i="9"/>
  <c r="E27" i="9" s="1"/>
  <c r="C108" i="9"/>
  <c r="E108" i="9" s="1"/>
  <c r="D108" i="9"/>
  <c r="D26" i="8"/>
  <c r="D72" i="9"/>
  <c r="C72" i="9"/>
  <c r="E72" i="9" s="1"/>
  <c r="D44" i="8"/>
  <c r="D88" i="9"/>
  <c r="C88" i="9"/>
  <c r="E88" i="9" s="1"/>
  <c r="C89" i="9"/>
  <c r="E89" i="9" s="1"/>
  <c r="D89" i="9"/>
  <c r="D266" i="9"/>
  <c r="C266" i="9"/>
  <c r="E266" i="9" s="1"/>
  <c r="D150" i="9"/>
  <c r="C150" i="9"/>
  <c r="E150" i="9" s="1"/>
  <c r="D8" i="5"/>
  <c r="C8" i="5"/>
  <c r="D27" i="8"/>
  <c r="C220" i="9"/>
  <c r="E220" i="9" s="1"/>
  <c r="D220" i="9"/>
  <c r="D45" i="9"/>
  <c r="C45" i="9"/>
  <c r="E45" i="9" s="1"/>
  <c r="C111" i="9"/>
  <c r="E111" i="9" s="1"/>
  <c r="D111" i="9"/>
  <c r="D82" i="9"/>
  <c r="C82" i="9"/>
  <c r="E82" i="9" s="1"/>
  <c r="C49" i="5"/>
  <c r="D49" i="5"/>
  <c r="D165" i="9"/>
  <c r="C165" i="9"/>
  <c r="E165" i="9" s="1"/>
  <c r="C251" i="9"/>
  <c r="E251" i="9" s="1"/>
  <c r="D251" i="9"/>
  <c r="D49" i="9"/>
  <c r="C49" i="9"/>
  <c r="E49" i="9" s="1"/>
  <c r="D143" i="9"/>
  <c r="C143" i="9"/>
  <c r="E143" i="9" s="1"/>
  <c r="D222" i="9"/>
  <c r="C222" i="9"/>
  <c r="E222" i="9" s="1"/>
  <c r="C121" i="9"/>
  <c r="E121" i="9" s="1"/>
  <c r="D121" i="9"/>
  <c r="D130" i="9"/>
  <c r="C130" i="9"/>
  <c r="E130" i="9" s="1"/>
  <c r="D54" i="5"/>
  <c r="C54" i="5"/>
  <c r="D7" i="5"/>
  <c r="C7" i="5"/>
  <c r="D11" i="5"/>
  <c r="C11" i="5"/>
  <c r="D194" i="9"/>
  <c r="C194" i="9"/>
  <c r="E194" i="9" s="1"/>
  <c r="C114" i="9"/>
  <c r="E114" i="9" s="1"/>
  <c r="D114" i="9"/>
  <c r="C192" i="9"/>
  <c r="E192" i="9" s="1"/>
  <c r="C39" i="5"/>
  <c r="C34" i="9"/>
  <c r="E34" i="9" s="1"/>
  <c r="D34" i="9"/>
  <c r="C44" i="5"/>
  <c r="D78" i="9"/>
  <c r="C78" i="9"/>
  <c r="E78" i="9" s="1"/>
  <c r="D14" i="5"/>
  <c r="C14" i="5"/>
  <c r="D35" i="5"/>
  <c r="C35" i="5"/>
  <c r="C3" i="5"/>
  <c r="D3" i="5"/>
  <c r="D27" i="5"/>
  <c r="C27" i="5"/>
  <c r="D128" i="9"/>
  <c r="C128" i="9"/>
  <c r="E128" i="9" s="1"/>
  <c r="D229" i="9"/>
  <c r="C229" i="9"/>
  <c r="E229" i="9" s="1"/>
  <c r="D50" i="9"/>
  <c r="C50" i="9"/>
  <c r="E50" i="9" s="1"/>
  <c r="D9" i="8"/>
  <c r="C50" i="5"/>
  <c r="D7" i="8"/>
  <c r="C40" i="5"/>
  <c r="D40" i="5"/>
  <c r="C79" i="9"/>
  <c r="E79" i="9" s="1"/>
  <c r="D79" i="9"/>
  <c r="C237" i="9"/>
  <c r="E237" i="9" s="1"/>
  <c r="D237" i="9"/>
  <c r="D205" i="9"/>
  <c r="C205" i="9"/>
  <c r="E205" i="9" s="1"/>
  <c r="C16" i="9"/>
  <c r="E16" i="9" s="1"/>
  <c r="D16" i="9"/>
  <c r="C131" i="9"/>
  <c r="E131" i="9" s="1"/>
  <c r="D131" i="9"/>
  <c r="D35" i="8"/>
  <c r="C17" i="5"/>
  <c r="D17" i="5"/>
  <c r="C91" i="9"/>
  <c r="E91" i="9" s="1"/>
  <c r="D91" i="9"/>
  <c r="D234" i="9"/>
  <c r="C234" i="9"/>
  <c r="E234" i="9" s="1"/>
  <c r="D57" i="9"/>
  <c r="C57" i="9"/>
  <c r="E57" i="9" s="1"/>
  <c r="D24" i="8"/>
  <c r="C32" i="5"/>
  <c r="D32" i="5"/>
  <c r="C168" i="9"/>
  <c r="E168" i="9" s="1"/>
  <c r="D168" i="9"/>
  <c r="D62" i="5"/>
  <c r="C62" i="5"/>
  <c r="D239" i="9"/>
  <c r="C239" i="9"/>
  <c r="E239" i="9" s="1"/>
  <c r="D38" i="5"/>
  <c r="C38" i="5"/>
  <c r="C100" i="9"/>
  <c r="E100" i="9" s="1"/>
  <c r="D100" i="9"/>
  <c r="C202" i="9"/>
  <c r="E202" i="9" s="1"/>
  <c r="D202" i="9"/>
  <c r="C125" i="9"/>
  <c r="E125" i="9" s="1"/>
  <c r="D125" i="9"/>
  <c r="D60" i="9"/>
  <c r="C60" i="9"/>
  <c r="E60" i="9" s="1"/>
  <c r="C260" i="9"/>
  <c r="E260" i="9" s="1"/>
  <c r="D260" i="9"/>
  <c r="D5" i="8"/>
  <c r="D9" i="9"/>
  <c r="C9" i="9"/>
  <c r="E9" i="9" s="1"/>
  <c r="C14" i="9"/>
  <c r="E14" i="9" s="1"/>
  <c r="D14" i="9"/>
  <c r="D95" i="9"/>
  <c r="C95" i="9"/>
  <c r="E95" i="9" s="1"/>
  <c r="C40" i="9"/>
  <c r="E40" i="9" s="1"/>
  <c r="D40" i="9"/>
  <c r="C214" i="9"/>
  <c r="E214" i="9" s="1"/>
  <c r="D214" i="9"/>
  <c r="C41" i="9"/>
  <c r="E41" i="9" s="1"/>
  <c r="D41" i="9"/>
  <c r="C155" i="9"/>
  <c r="E155" i="9" s="1"/>
  <c r="D155" i="9"/>
  <c r="D19" i="9"/>
  <c r="C19" i="9"/>
  <c r="E19" i="9" s="1"/>
  <c r="D20" i="8"/>
  <c r="C117" i="9"/>
  <c r="E117" i="9" s="1"/>
  <c r="D117" i="9"/>
  <c r="C112" i="9"/>
  <c r="E112" i="9" s="1"/>
  <c r="D112" i="9"/>
  <c r="D169" i="9"/>
  <c r="C169" i="9"/>
  <c r="E169" i="9" s="1"/>
  <c r="C12" i="9"/>
  <c r="E12" i="9" s="1"/>
  <c r="D12" i="9"/>
  <c r="C212" i="9"/>
  <c r="E212" i="9" s="1"/>
  <c r="D212" i="9"/>
  <c r="C97" i="9"/>
  <c r="E97" i="9" s="1"/>
  <c r="D97" i="9"/>
  <c r="D216" i="9"/>
  <c r="C216" i="9"/>
  <c r="E216" i="9" s="1"/>
  <c r="D118" i="9"/>
  <c r="C118" i="9"/>
  <c r="E118" i="9" s="1"/>
  <c r="D45" i="8"/>
  <c r="D257" i="9"/>
  <c r="C257" i="9"/>
  <c r="E257" i="9" s="1"/>
  <c r="D10" i="5"/>
  <c r="C10" i="5"/>
  <c r="D19" i="5"/>
  <c r="C19" i="5"/>
  <c r="D80" i="9"/>
  <c r="C187" i="9"/>
  <c r="E187" i="9" s="1"/>
  <c r="D187" i="9"/>
  <c r="C83" i="9"/>
  <c r="E83" i="9" s="1"/>
  <c r="D83" i="9"/>
  <c r="C171" i="9"/>
  <c r="E171" i="9" s="1"/>
  <c r="D171" i="9"/>
  <c r="D170" i="9"/>
  <c r="C170" i="9"/>
  <c r="E170" i="9" s="1"/>
  <c r="C96" i="9"/>
  <c r="E96" i="9" s="1"/>
  <c r="D96" i="9"/>
  <c r="D37" i="5"/>
  <c r="C37" i="5"/>
  <c r="D73" i="9"/>
  <c r="C73" i="9"/>
  <c r="E73" i="9" s="1"/>
  <c r="C198" i="9"/>
  <c r="E198" i="9" s="1"/>
  <c r="D198" i="9"/>
  <c r="C39" i="9"/>
  <c r="E39" i="9" s="1"/>
  <c r="D39" i="9"/>
  <c r="C7" i="9"/>
  <c r="E7" i="9" s="1"/>
  <c r="D7" i="9"/>
  <c r="D52" i="5"/>
  <c r="C52" i="5"/>
  <c r="C141" i="9"/>
  <c r="E141" i="9" s="1"/>
  <c r="D141" i="9"/>
  <c r="C21" i="9"/>
  <c r="E21" i="9" s="1"/>
  <c r="D21" i="9"/>
  <c r="D201" i="9"/>
  <c r="C33" i="5"/>
  <c r="D33" i="5"/>
  <c r="C93" i="9"/>
  <c r="E93" i="9" s="1"/>
  <c r="D93" i="9"/>
  <c r="D22" i="5"/>
  <c r="C22" i="5"/>
  <c r="C134" i="9"/>
  <c r="E134" i="9" s="1"/>
  <c r="D134" i="9"/>
  <c r="D133" i="9"/>
  <c r="C133" i="9"/>
  <c r="E133" i="9" s="1"/>
  <c r="D12" i="5"/>
  <c r="C12" i="5"/>
  <c r="D224" i="9"/>
  <c r="C224" i="9"/>
  <c r="E224" i="9" s="1"/>
  <c r="D49" i="8"/>
  <c r="D25" i="9"/>
  <c r="C25" i="9"/>
  <c r="E25" i="9" s="1"/>
  <c r="D249" i="9"/>
  <c r="C249" i="9"/>
  <c r="E249" i="9" s="1"/>
  <c r="D103" i="9"/>
  <c r="C103" i="9"/>
  <c r="E103" i="9" s="1"/>
  <c r="C163" i="9"/>
  <c r="E163" i="9" s="1"/>
  <c r="D163" i="9"/>
  <c r="D74" i="9"/>
  <c r="C74" i="9"/>
  <c r="E74" i="9" s="1"/>
  <c r="H83" i="16" l="1"/>
  <c r="H85" i="16"/>
  <c r="I85" i="16" s="1"/>
  <c r="I79" i="9" s="1"/>
  <c r="H92" i="16"/>
  <c r="H89" i="16"/>
  <c r="I89" i="16" s="1"/>
  <c r="I83" i="9" s="1"/>
  <c r="H88" i="16"/>
  <c r="H87" i="16"/>
  <c r="I87" i="16" s="1"/>
  <c r="I81" i="9" s="1"/>
  <c r="H84" i="16"/>
  <c r="I84" i="16" s="1"/>
  <c r="I78" i="9" s="1"/>
  <c r="H90" i="16"/>
  <c r="I90" i="16" s="1"/>
  <c r="I84" i="9" s="1"/>
  <c r="H82" i="16"/>
  <c r="I82" i="16" s="1"/>
  <c r="I76" i="9" s="1"/>
  <c r="H91" i="16"/>
  <c r="I91" i="16" s="1"/>
  <c r="I85" i="9" s="1"/>
  <c r="I17" i="5"/>
  <c r="G17" i="9" s="1"/>
  <c r="I18" i="5"/>
  <c r="G18" i="9" s="1"/>
  <c r="M18" i="9" s="1"/>
  <c r="F14" i="9"/>
  <c r="O14" i="9" s="1"/>
  <c r="H26" i="5"/>
  <c r="H38" i="5" s="1"/>
  <c r="H50" i="5" s="1"/>
  <c r="H62" i="5" s="1"/>
  <c r="F7" i="9"/>
  <c r="O7" i="9" s="1"/>
  <c r="H19" i="5"/>
  <c r="H31" i="5" s="1"/>
  <c r="H43" i="5" s="1"/>
  <c r="H55" i="5" s="1"/>
  <c r="F5" i="9"/>
  <c r="L5" i="9" s="1"/>
  <c r="H17" i="5"/>
  <c r="H29" i="5" s="1"/>
  <c r="H41" i="5" s="1"/>
  <c r="H53" i="5" s="1"/>
  <c r="F9" i="9"/>
  <c r="O9" i="9" s="1"/>
  <c r="H21" i="5"/>
  <c r="H33" i="5" s="1"/>
  <c r="H45" i="5" s="1"/>
  <c r="H57" i="5" s="1"/>
  <c r="F11" i="9"/>
  <c r="O11" i="9" s="1"/>
  <c r="H23" i="5"/>
  <c r="F13" i="9"/>
  <c r="O13" i="9" s="1"/>
  <c r="H25" i="5"/>
  <c r="H37" i="5" s="1"/>
  <c r="H49" i="5" s="1"/>
  <c r="H61" i="5" s="1"/>
  <c r="F8" i="9"/>
  <c r="O8" i="9" s="1"/>
  <c r="H20" i="5"/>
  <c r="F12" i="9"/>
  <c r="O12" i="9" s="1"/>
  <c r="H24" i="5"/>
  <c r="H36" i="5" s="1"/>
  <c r="H48" i="5" s="1"/>
  <c r="H60" i="5" s="1"/>
  <c r="F6" i="9"/>
  <c r="O6" i="9" s="1"/>
  <c r="H18" i="5"/>
  <c r="H30" i="5" s="1"/>
  <c r="H42" i="5" s="1"/>
  <c r="H54" i="5" s="1"/>
  <c r="F16" i="9"/>
  <c r="L16" i="9" s="1"/>
  <c r="H28" i="5"/>
  <c r="H40" i="5" s="1"/>
  <c r="H52" i="5" s="1"/>
  <c r="F10" i="9"/>
  <c r="O10" i="9" s="1"/>
  <c r="H22" i="5"/>
  <c r="H34" i="5" s="1"/>
  <c r="H46" i="5" s="1"/>
  <c r="H58" i="5" s="1"/>
  <c r="O5" i="30"/>
  <c r="I63" i="9"/>
  <c r="O8" i="3"/>
  <c r="O35" i="3"/>
  <c r="O62" i="3"/>
  <c r="O89" i="3"/>
  <c r="O6" i="3"/>
  <c r="O33" i="3"/>
  <c r="I21" i="5"/>
  <c r="I25" i="5"/>
  <c r="G25" i="9" s="1"/>
  <c r="I26" i="5"/>
  <c r="G26" i="9" s="1"/>
  <c r="F4" i="9"/>
  <c r="L4" i="9" s="1"/>
  <c r="I92" i="16"/>
  <c r="I86" i="9" s="1"/>
  <c r="I77" i="16"/>
  <c r="I71" i="9" s="1"/>
  <c r="I80" i="16"/>
  <c r="I74" i="9" s="1"/>
  <c r="I75" i="16"/>
  <c r="I69" i="9" s="1"/>
  <c r="I74" i="16"/>
  <c r="I68" i="9" s="1"/>
  <c r="I73" i="16"/>
  <c r="I67" i="9" s="1"/>
  <c r="I83" i="16"/>
  <c r="I77" i="9" s="1"/>
  <c r="I76" i="16"/>
  <c r="I70" i="9" s="1"/>
  <c r="I86" i="16"/>
  <c r="I80" i="9" s="1"/>
  <c r="I81" i="16"/>
  <c r="I88" i="16"/>
  <c r="I82" i="9" s="1"/>
  <c r="I79" i="16"/>
  <c r="I73" i="9" s="1"/>
  <c r="I72" i="16"/>
  <c r="I66" i="9" s="1"/>
  <c r="I70" i="16"/>
  <c r="I71" i="16"/>
  <c r="I65" i="9" s="1"/>
  <c r="I78" i="16"/>
  <c r="I72" i="9" s="1"/>
  <c r="P4" i="9"/>
  <c r="M4" i="9"/>
  <c r="P9" i="9"/>
  <c r="M9" i="9"/>
  <c r="M5" i="9"/>
  <c r="P5" i="9"/>
  <c r="P13" i="9"/>
  <c r="M13" i="9"/>
  <c r="P6" i="9"/>
  <c r="M6" i="9"/>
  <c r="P12" i="9"/>
  <c r="M12" i="9"/>
  <c r="P7" i="9"/>
  <c r="M7" i="9"/>
  <c r="P8" i="9"/>
  <c r="M8" i="9"/>
  <c r="P10" i="9"/>
  <c r="M10" i="9"/>
  <c r="P14" i="9"/>
  <c r="M14" i="9"/>
  <c r="P3" i="9"/>
  <c r="M3" i="9"/>
  <c r="F3" i="9"/>
  <c r="E18" i="9"/>
  <c r="I19" i="5"/>
  <c r="I31" i="5" s="1"/>
  <c r="I43" i="5" s="1"/>
  <c r="I55" i="5" s="1"/>
  <c r="I24" i="5"/>
  <c r="I36" i="5" s="1"/>
  <c r="G36" i="9" s="1"/>
  <c r="M36" i="9" s="1"/>
  <c r="I22" i="5"/>
  <c r="G22" i="9" s="1"/>
  <c r="M22" i="9" s="1"/>
  <c r="G15" i="9"/>
  <c r="G11" i="9"/>
  <c r="I23" i="5"/>
  <c r="G23" i="9" s="1"/>
  <c r="I20" i="5"/>
  <c r="I32" i="5" s="1"/>
  <c r="T9" i="16"/>
  <c r="T12" i="16" s="1"/>
  <c r="I28" i="5"/>
  <c r="I40" i="5" s="1"/>
  <c r="I52" i="5" s="1"/>
  <c r="I27" i="5"/>
  <c r="I39" i="5" s="1"/>
  <c r="I51" i="5" s="1"/>
  <c r="G16" i="9"/>
  <c r="X10" i="16"/>
  <c r="H94" i="16" l="1"/>
  <c r="I94" i="16" s="1"/>
  <c r="I88" i="9" s="1"/>
  <c r="H102" i="16"/>
  <c r="I102" i="16" s="1"/>
  <c r="I96" i="9" s="1"/>
  <c r="H96" i="16"/>
  <c r="H93" i="16"/>
  <c r="I93" i="16" s="1"/>
  <c r="H99" i="16"/>
  <c r="H100" i="16"/>
  <c r="I100" i="16" s="1"/>
  <c r="I94" i="9" s="1"/>
  <c r="H101" i="16"/>
  <c r="I101" i="16" s="1"/>
  <c r="I95" i="9" s="1"/>
  <c r="H104" i="16"/>
  <c r="I104" i="16" s="1"/>
  <c r="I98" i="9" s="1"/>
  <c r="H97" i="16"/>
  <c r="I97" i="16" s="1"/>
  <c r="I91" i="9" s="1"/>
  <c r="H95" i="16"/>
  <c r="I95" i="16" s="1"/>
  <c r="I89" i="9" s="1"/>
  <c r="H98" i="16"/>
  <c r="I98" i="16" s="1"/>
  <c r="I92" i="9" s="1"/>
  <c r="H103" i="16"/>
  <c r="I103" i="16" s="1"/>
  <c r="I97" i="9" s="1"/>
  <c r="O5" i="9"/>
  <c r="L9" i="9"/>
  <c r="L7" i="9"/>
  <c r="L10" i="9"/>
  <c r="L11" i="9"/>
  <c r="I29" i="5"/>
  <c r="G29" i="9" s="1"/>
  <c r="M29" i="9" s="1"/>
  <c r="I30" i="5"/>
  <c r="I42" i="5" s="1"/>
  <c r="F19" i="9"/>
  <c r="O19" i="9" s="1"/>
  <c r="L8" i="9"/>
  <c r="F22" i="9"/>
  <c r="O22" i="9" s="1"/>
  <c r="L14" i="9"/>
  <c r="L6" i="9"/>
  <c r="F31" i="9"/>
  <c r="L31" i="9" s="1"/>
  <c r="F25" i="9"/>
  <c r="O25" i="9" s="1"/>
  <c r="H35" i="5"/>
  <c r="H47" i="5" s="1"/>
  <c r="H59" i="5" s="1"/>
  <c r="F59" i="9" s="1"/>
  <c r="L59" i="9" s="1"/>
  <c r="F23" i="9"/>
  <c r="I38" i="5"/>
  <c r="I50" i="5" s="1"/>
  <c r="G50" i="9" s="1"/>
  <c r="M50" i="9" s="1"/>
  <c r="I37" i="5"/>
  <c r="G37" i="9" s="1"/>
  <c r="M37" i="9" s="1"/>
  <c r="F33" i="9"/>
  <c r="O33" i="9" s="1"/>
  <c r="H32" i="5"/>
  <c r="F20" i="9"/>
  <c r="L13" i="9"/>
  <c r="F37" i="9"/>
  <c r="L37" i="9" s="1"/>
  <c r="L12" i="9"/>
  <c r="F24" i="9"/>
  <c r="O24" i="9" s="1"/>
  <c r="I75" i="9"/>
  <c r="I64" i="9"/>
  <c r="L3" i="9"/>
  <c r="O3" i="9"/>
  <c r="I34" i="5"/>
  <c r="G34" i="9" s="1"/>
  <c r="M34" i="9" s="1"/>
  <c r="G21" i="9"/>
  <c r="I33" i="5"/>
  <c r="I99" i="16"/>
  <c r="I93" i="9" s="1"/>
  <c r="I96" i="16"/>
  <c r="I90" i="9" s="1"/>
  <c r="O4" i="9"/>
  <c r="O37" i="30"/>
  <c r="O9" i="30"/>
  <c r="F62" i="9"/>
  <c r="O62" i="9" s="1"/>
  <c r="L15" i="9"/>
  <c r="O15" i="9"/>
  <c r="F55" i="9"/>
  <c r="L55" i="9" s="1"/>
  <c r="P11" i="9"/>
  <c r="M11" i="9"/>
  <c r="P23" i="9"/>
  <c r="M23" i="9"/>
  <c r="P16" i="9"/>
  <c r="M16" i="9"/>
  <c r="P25" i="9"/>
  <c r="M25" i="9"/>
  <c r="P17" i="9"/>
  <c r="M17" i="9"/>
  <c r="O16" i="9"/>
  <c r="P15" i="9"/>
  <c r="M15" i="9"/>
  <c r="P26" i="9"/>
  <c r="M26" i="9"/>
  <c r="F38" i="9"/>
  <c r="L38" i="9" s="1"/>
  <c r="F61" i="9"/>
  <c r="I48" i="5"/>
  <c r="I60" i="5" s="1"/>
  <c r="G60" i="9" s="1"/>
  <c r="M60" i="9" s="1"/>
  <c r="F29" i="9"/>
  <c r="L29" i="9" s="1"/>
  <c r="F18" i="9"/>
  <c r="F26" i="9"/>
  <c r="G31" i="9"/>
  <c r="M31" i="9" s="1"/>
  <c r="G19" i="9"/>
  <c r="G20" i="9"/>
  <c r="F21" i="9"/>
  <c r="G24" i="9"/>
  <c r="F34" i="9"/>
  <c r="I35" i="5"/>
  <c r="F17" i="9"/>
  <c r="U9" i="16"/>
  <c r="U12" i="16" s="1"/>
  <c r="G28" i="9"/>
  <c r="M28" i="9" s="1"/>
  <c r="F28" i="9"/>
  <c r="G27" i="9"/>
  <c r="I44" i="5"/>
  <c r="G32" i="9"/>
  <c r="F30" i="9"/>
  <c r="Y10" i="16"/>
  <c r="P22" i="9"/>
  <c r="F27" i="9"/>
  <c r="L27" i="9" s="1"/>
  <c r="P18" i="9"/>
  <c r="F58" i="9"/>
  <c r="L58" i="9" s="1"/>
  <c r="F46" i="9"/>
  <c r="L46" i="9" s="1"/>
  <c r="G51" i="9"/>
  <c r="M51" i="9" s="1"/>
  <c r="G39" i="9"/>
  <c r="M39" i="9" s="1"/>
  <c r="F41" i="9"/>
  <c r="L41" i="9" s="1"/>
  <c r="F53" i="9"/>
  <c r="L53" i="9" s="1"/>
  <c r="P36" i="9"/>
  <c r="G52" i="9"/>
  <c r="M52" i="9" s="1"/>
  <c r="G40" i="9"/>
  <c r="M40" i="9" s="1"/>
  <c r="G43" i="9"/>
  <c r="M43" i="9" s="1"/>
  <c r="G55" i="9"/>
  <c r="M55" i="9" s="1"/>
  <c r="F50" i="9"/>
  <c r="L50" i="9" s="1"/>
  <c r="H106" i="16" l="1"/>
  <c r="H114" i="16"/>
  <c r="H108" i="16"/>
  <c r="H105" i="16"/>
  <c r="I105" i="16" s="1"/>
  <c r="H111" i="16"/>
  <c r="I111" i="16" s="1"/>
  <c r="I105" i="9" s="1"/>
  <c r="H112" i="16"/>
  <c r="H113" i="16"/>
  <c r="H116" i="16"/>
  <c r="I116" i="16" s="1"/>
  <c r="I110" i="9" s="1"/>
  <c r="H109" i="16"/>
  <c r="H107" i="16"/>
  <c r="I107" i="16" s="1"/>
  <c r="I101" i="9" s="1"/>
  <c r="H110" i="16"/>
  <c r="I110" i="16" s="1"/>
  <c r="I104" i="9" s="1"/>
  <c r="H115" i="16"/>
  <c r="I115" i="16" s="1"/>
  <c r="I109" i="9" s="1"/>
  <c r="G30" i="9"/>
  <c r="M30" i="9" s="1"/>
  <c r="L19" i="9"/>
  <c r="I41" i="5"/>
  <c r="I53" i="5" s="1"/>
  <c r="G53" i="9" s="1"/>
  <c r="M53" i="9" s="1"/>
  <c r="P29" i="9"/>
  <c r="I62" i="5"/>
  <c r="G62" i="9" s="1"/>
  <c r="M62" i="9" s="1"/>
  <c r="F35" i="9"/>
  <c r="L35" i="9" s="1"/>
  <c r="L22" i="9"/>
  <c r="O37" i="9"/>
  <c r="F47" i="9"/>
  <c r="L47" i="9" s="1"/>
  <c r="L25" i="9"/>
  <c r="O31" i="9"/>
  <c r="I49" i="5"/>
  <c r="G49" i="9" s="1"/>
  <c r="M49" i="9" s="1"/>
  <c r="L24" i="9"/>
  <c r="P37" i="9"/>
  <c r="L33" i="9"/>
  <c r="I46" i="5"/>
  <c r="I58" i="5" s="1"/>
  <c r="G58" i="9" s="1"/>
  <c r="M58" i="9" s="1"/>
  <c r="O20" i="9"/>
  <c r="L20" i="9"/>
  <c r="H44" i="5"/>
  <c r="H56" i="5" s="1"/>
  <c r="F56" i="9" s="1"/>
  <c r="L56" i="9" s="1"/>
  <c r="F32" i="9"/>
  <c r="L23" i="9"/>
  <c r="O23" i="9"/>
  <c r="P50" i="9"/>
  <c r="G38" i="9"/>
  <c r="P38" i="9" s="1"/>
  <c r="F5" i="3"/>
  <c r="O36" i="30"/>
  <c r="O64" i="30"/>
  <c r="O118" i="30"/>
  <c r="O10" i="30"/>
  <c r="F5" i="30"/>
  <c r="I87" i="9"/>
  <c r="O37" i="3"/>
  <c r="O64" i="3"/>
  <c r="O91" i="3"/>
  <c r="O118" i="3"/>
  <c r="O117" i="3"/>
  <c r="O90" i="3"/>
  <c r="O36" i="3"/>
  <c r="O63" i="3"/>
  <c r="G33" i="9"/>
  <c r="I45" i="5"/>
  <c r="M21" i="9"/>
  <c r="P21" i="9"/>
  <c r="O65" i="30"/>
  <c r="I108" i="16"/>
  <c r="I102" i="9" s="1"/>
  <c r="I113" i="16"/>
  <c r="I107" i="9" s="1"/>
  <c r="I109" i="16"/>
  <c r="I103" i="9" s="1"/>
  <c r="I114" i="16"/>
  <c r="I108" i="9" s="1"/>
  <c r="I112" i="16"/>
  <c r="I106" i="9" s="1"/>
  <c r="I106" i="16"/>
  <c r="I100" i="9" s="1"/>
  <c r="L62" i="9"/>
  <c r="L4" i="8"/>
  <c r="F43" i="9"/>
  <c r="L43" i="9" s="1"/>
  <c r="O55" i="9"/>
  <c r="O21" i="9"/>
  <c r="L21" i="9"/>
  <c r="O30" i="9"/>
  <c r="L30" i="9"/>
  <c r="P20" i="9"/>
  <c r="M20" i="9"/>
  <c r="O61" i="9"/>
  <c r="L61" i="9"/>
  <c r="P27" i="9"/>
  <c r="M27" i="9"/>
  <c r="L3" i="8" s="1"/>
  <c r="O17" i="9"/>
  <c r="L17" i="9"/>
  <c r="K5" i="8" s="1"/>
  <c r="O29" i="9"/>
  <c r="O28" i="9"/>
  <c r="L28" i="9"/>
  <c r="O34" i="9"/>
  <c r="L34" i="9"/>
  <c r="O26" i="9"/>
  <c r="E5" i="30" s="1"/>
  <c r="L26" i="9"/>
  <c r="P32" i="9"/>
  <c r="M32" i="9"/>
  <c r="P19" i="9"/>
  <c r="M19" i="9"/>
  <c r="L7" i="8" s="1"/>
  <c r="P24" i="9"/>
  <c r="M24" i="9"/>
  <c r="O18" i="9"/>
  <c r="L18" i="9"/>
  <c r="O38" i="9"/>
  <c r="F49" i="9"/>
  <c r="G48" i="9"/>
  <c r="M48" i="9" s="1"/>
  <c r="F45" i="9"/>
  <c r="L45" i="9" s="1"/>
  <c r="F57" i="9"/>
  <c r="L57" i="9" s="1"/>
  <c r="G35" i="9"/>
  <c r="I47" i="5"/>
  <c r="F36" i="9"/>
  <c r="L36" i="9" s="1"/>
  <c r="P28" i="9"/>
  <c r="P31" i="9"/>
  <c r="V9" i="16"/>
  <c r="V12" i="16" s="1"/>
  <c r="I56" i="5"/>
  <c r="G56" i="9" s="1"/>
  <c r="M56" i="9" s="1"/>
  <c r="G44" i="9"/>
  <c r="M44" i="9" s="1"/>
  <c r="F52" i="9"/>
  <c r="L52" i="9" s="1"/>
  <c r="F40" i="9"/>
  <c r="L40" i="9" s="1"/>
  <c r="F54" i="9"/>
  <c r="L54" i="9" s="1"/>
  <c r="F42" i="9"/>
  <c r="L42" i="9" s="1"/>
  <c r="Z10" i="16"/>
  <c r="F51" i="9"/>
  <c r="L51" i="9" s="1"/>
  <c r="F39" i="9"/>
  <c r="L39" i="9" s="1"/>
  <c r="I54" i="5"/>
  <c r="G54" i="9" s="1"/>
  <c r="M54" i="9" s="1"/>
  <c r="G42" i="9"/>
  <c r="M42" i="9" s="1"/>
  <c r="O27" i="9"/>
  <c r="P34" i="9"/>
  <c r="P43" i="9"/>
  <c r="P51" i="9"/>
  <c r="P60" i="9"/>
  <c r="P39" i="9"/>
  <c r="O46" i="9"/>
  <c r="O50" i="9"/>
  <c r="O58" i="9"/>
  <c r="P55" i="9"/>
  <c r="P40" i="9"/>
  <c r="O53" i="9"/>
  <c r="P52" i="9"/>
  <c r="O59" i="9"/>
  <c r="O41" i="9"/>
  <c r="P53" i="9" l="1"/>
  <c r="K7" i="8"/>
  <c r="H120" i="16"/>
  <c r="H117" i="16"/>
  <c r="H123" i="16"/>
  <c r="I123" i="16" s="1"/>
  <c r="I117" i="9" s="1"/>
  <c r="H124" i="16"/>
  <c r="H125" i="16"/>
  <c r="H128" i="16"/>
  <c r="I128" i="16" s="1"/>
  <c r="I122" i="9" s="1"/>
  <c r="H121" i="16"/>
  <c r="I121" i="16" s="1"/>
  <c r="I115" i="9" s="1"/>
  <c r="H119" i="16"/>
  <c r="I119" i="16" s="1"/>
  <c r="I113" i="9" s="1"/>
  <c r="H122" i="16"/>
  <c r="I122" i="16" s="1"/>
  <c r="I116" i="9" s="1"/>
  <c r="H127" i="16"/>
  <c r="I127" i="16" s="1"/>
  <c r="I121" i="9" s="1"/>
  <c r="H118" i="16"/>
  <c r="I118" i="16" s="1"/>
  <c r="I112" i="9" s="1"/>
  <c r="H126" i="16"/>
  <c r="I126" i="16" s="1"/>
  <c r="I120" i="9" s="1"/>
  <c r="P30" i="9"/>
  <c r="H33" i="30" s="1"/>
  <c r="P62" i="9"/>
  <c r="F62" i="30" s="1"/>
  <c r="G41" i="9"/>
  <c r="M41" i="9" s="1"/>
  <c r="L5" i="8" s="1"/>
  <c r="M161" i="9" s="1"/>
  <c r="O35" i="9"/>
  <c r="K11" i="8"/>
  <c r="O47" i="9"/>
  <c r="K10" i="8"/>
  <c r="L190" i="9" s="1"/>
  <c r="M38" i="9"/>
  <c r="L14" i="8" s="1"/>
  <c r="P49" i="9"/>
  <c r="I61" i="5"/>
  <c r="G61" i="9" s="1"/>
  <c r="M61" i="9" s="1"/>
  <c r="L13" i="8" s="1"/>
  <c r="G46" i="9"/>
  <c r="M46" i="9" s="1"/>
  <c r="L10" i="8" s="1"/>
  <c r="F44" i="9"/>
  <c r="L44" i="9" s="1"/>
  <c r="O32" i="9"/>
  <c r="L32" i="9"/>
  <c r="M76" i="9"/>
  <c r="M112" i="9"/>
  <c r="M136" i="9"/>
  <c r="M160" i="9"/>
  <c r="M184" i="9"/>
  <c r="M208" i="9"/>
  <c r="M232" i="9"/>
  <c r="M256" i="9"/>
  <c r="M64" i="9"/>
  <c r="M88" i="9"/>
  <c r="M100" i="9"/>
  <c r="M124" i="9"/>
  <c r="M148" i="9"/>
  <c r="M172" i="9"/>
  <c r="M196" i="9"/>
  <c r="M220" i="9"/>
  <c r="M244" i="9"/>
  <c r="M67" i="9"/>
  <c r="M139" i="9"/>
  <c r="M199" i="9"/>
  <c r="M247" i="9"/>
  <c r="M79" i="9"/>
  <c r="M151" i="9"/>
  <c r="M187" i="9"/>
  <c r="M91" i="9"/>
  <c r="M163" i="9"/>
  <c r="M211" i="9"/>
  <c r="M259" i="9"/>
  <c r="M103" i="9"/>
  <c r="M175" i="9"/>
  <c r="M223" i="9"/>
  <c r="M115" i="9"/>
  <c r="M127" i="9"/>
  <c r="M235" i="9"/>
  <c r="M63" i="9"/>
  <c r="M87" i="9"/>
  <c r="M99" i="9"/>
  <c r="M123" i="9"/>
  <c r="M147" i="9"/>
  <c r="M171" i="9"/>
  <c r="M195" i="9"/>
  <c r="M219" i="9"/>
  <c r="M243" i="9"/>
  <c r="M75" i="9"/>
  <c r="M111" i="9"/>
  <c r="M135" i="9"/>
  <c r="M159" i="9"/>
  <c r="M183" i="9"/>
  <c r="M207" i="9"/>
  <c r="M231" i="9"/>
  <c r="M255" i="9"/>
  <c r="L89" i="9"/>
  <c r="L125" i="9"/>
  <c r="L137" i="9"/>
  <c r="L149" i="9"/>
  <c r="L161" i="9"/>
  <c r="L173" i="9"/>
  <c r="L185" i="9"/>
  <c r="L197" i="9"/>
  <c r="L209" i="9"/>
  <c r="L221" i="9"/>
  <c r="L233" i="9"/>
  <c r="L245" i="9"/>
  <c r="L65" i="9"/>
  <c r="L77" i="9"/>
  <c r="L101" i="9"/>
  <c r="L113" i="9"/>
  <c r="L257" i="9"/>
  <c r="L259" i="9"/>
  <c r="L67" i="9"/>
  <c r="L139" i="9"/>
  <c r="L211" i="9"/>
  <c r="L79" i="9"/>
  <c r="L151" i="9"/>
  <c r="L223" i="9"/>
  <c r="L91" i="9"/>
  <c r="L163" i="9"/>
  <c r="L235" i="9"/>
  <c r="L103" i="9"/>
  <c r="L175" i="9"/>
  <c r="L115" i="9"/>
  <c r="L187" i="9"/>
  <c r="L127" i="9"/>
  <c r="L199" i="9"/>
  <c r="L247" i="9"/>
  <c r="F61" i="3"/>
  <c r="F33" i="3"/>
  <c r="E33" i="3"/>
  <c r="F34" i="3"/>
  <c r="F6" i="3"/>
  <c r="E6" i="3"/>
  <c r="F7" i="3"/>
  <c r="H5" i="3"/>
  <c r="G5" i="3"/>
  <c r="E5" i="3"/>
  <c r="D5" i="3"/>
  <c r="C5" i="3"/>
  <c r="O119" i="30"/>
  <c r="G5" i="30"/>
  <c r="C5" i="30"/>
  <c r="F61" i="30"/>
  <c r="F34" i="30"/>
  <c r="F7" i="30"/>
  <c r="I99" i="9"/>
  <c r="O38" i="30"/>
  <c r="F33" i="30"/>
  <c r="F6" i="30"/>
  <c r="D5" i="30"/>
  <c r="O11" i="30"/>
  <c r="E33" i="30"/>
  <c r="E6" i="30"/>
  <c r="K3" i="8"/>
  <c r="O65" i="3"/>
  <c r="O119" i="3"/>
  <c r="O38" i="3"/>
  <c r="O92" i="3"/>
  <c r="G45" i="9"/>
  <c r="I57" i="5"/>
  <c r="G57" i="9" s="1"/>
  <c r="M33" i="9"/>
  <c r="P33" i="9"/>
  <c r="I124" i="16"/>
  <c r="I118" i="9" s="1"/>
  <c r="I125" i="16"/>
  <c r="I119" i="9" s="1"/>
  <c r="O120" i="30"/>
  <c r="I117" i="16"/>
  <c r="I120" i="16"/>
  <c r="I114" i="9" s="1"/>
  <c r="K14" i="8"/>
  <c r="K9" i="8"/>
  <c r="K6" i="8"/>
  <c r="L12" i="8"/>
  <c r="K4" i="8"/>
  <c r="L6" i="8"/>
  <c r="L8" i="8"/>
  <c r="P41" i="9"/>
  <c r="O43" i="9"/>
  <c r="P48" i="9"/>
  <c r="O49" i="9"/>
  <c r="L49" i="9"/>
  <c r="K13" i="8" s="1"/>
  <c r="P35" i="9"/>
  <c r="M35" i="9"/>
  <c r="O45" i="9"/>
  <c r="O57" i="9"/>
  <c r="O56" i="9"/>
  <c r="F60" i="9"/>
  <c r="L60" i="9" s="1"/>
  <c r="F48" i="9"/>
  <c r="L48" i="9" s="1"/>
  <c r="O36" i="9"/>
  <c r="G6" i="3" s="1"/>
  <c r="I59" i="5"/>
  <c r="G59" i="9" s="1"/>
  <c r="M59" i="9" s="1"/>
  <c r="G47" i="9"/>
  <c r="M47" i="9" s="1"/>
  <c r="W9" i="16"/>
  <c r="W12" i="16" s="1"/>
  <c r="O40" i="9"/>
  <c r="O52" i="9"/>
  <c r="P44" i="9"/>
  <c r="P56" i="9"/>
  <c r="O42" i="9"/>
  <c r="O54" i="9"/>
  <c r="AA10" i="16"/>
  <c r="O39" i="9"/>
  <c r="O51" i="9"/>
  <c r="P42" i="9"/>
  <c r="P54" i="9"/>
  <c r="P58" i="9"/>
  <c r="H6" i="3" l="1"/>
  <c r="F89" i="30"/>
  <c r="F35" i="30"/>
  <c r="H33" i="3"/>
  <c r="F8" i="3"/>
  <c r="F35" i="3"/>
  <c r="F8" i="30"/>
  <c r="H6" i="30"/>
  <c r="F62" i="3"/>
  <c r="F89" i="3"/>
  <c r="H132" i="16"/>
  <c r="I132" i="16" s="1"/>
  <c r="I126" i="9" s="1"/>
  <c r="H129" i="16"/>
  <c r="I129" i="16" s="1"/>
  <c r="H135" i="16"/>
  <c r="I135" i="16" s="1"/>
  <c r="I129" i="9" s="1"/>
  <c r="H136" i="16"/>
  <c r="I136" i="16" s="1"/>
  <c r="I130" i="9" s="1"/>
  <c r="H137" i="16"/>
  <c r="I137" i="16" s="1"/>
  <c r="I131" i="9" s="1"/>
  <c r="H140" i="16"/>
  <c r="I140" i="16" s="1"/>
  <c r="I134" i="9" s="1"/>
  <c r="H133" i="16"/>
  <c r="I133" i="16" s="1"/>
  <c r="I127" i="9" s="1"/>
  <c r="H131" i="16"/>
  <c r="I131" i="16" s="1"/>
  <c r="I125" i="9" s="1"/>
  <c r="H134" i="16"/>
  <c r="I134" i="16" s="1"/>
  <c r="I128" i="9" s="1"/>
  <c r="H139" i="16"/>
  <c r="I139" i="16" s="1"/>
  <c r="I133" i="9" s="1"/>
  <c r="H130" i="16"/>
  <c r="I130" i="16" s="1"/>
  <c r="I124" i="9" s="1"/>
  <c r="H138" i="16"/>
  <c r="I138" i="16" s="1"/>
  <c r="I132" i="9" s="1"/>
  <c r="M109" i="9"/>
  <c r="L71" i="9"/>
  <c r="L119" i="9"/>
  <c r="M77" i="9"/>
  <c r="M125" i="9"/>
  <c r="M149" i="9"/>
  <c r="M89" i="9"/>
  <c r="M101" i="9"/>
  <c r="M65" i="9"/>
  <c r="M137" i="9"/>
  <c r="M113" i="9"/>
  <c r="L179" i="9"/>
  <c r="L143" i="9"/>
  <c r="L131" i="9"/>
  <c r="M221" i="9"/>
  <c r="M173" i="9"/>
  <c r="L95" i="9"/>
  <c r="M257" i="9"/>
  <c r="M209" i="9"/>
  <c r="M245" i="9"/>
  <c r="M197" i="9"/>
  <c r="L263" i="9"/>
  <c r="L239" i="9"/>
  <c r="C33" i="3"/>
  <c r="L227" i="9"/>
  <c r="L107" i="9"/>
  <c r="L130" i="9"/>
  <c r="L118" i="9"/>
  <c r="L203" i="9"/>
  <c r="M233" i="9"/>
  <c r="L106" i="9"/>
  <c r="L94" i="9"/>
  <c r="L82" i="9"/>
  <c r="L215" i="9"/>
  <c r="L191" i="9"/>
  <c r="M185" i="9"/>
  <c r="L83" i="9"/>
  <c r="L251" i="9"/>
  <c r="L167" i="9"/>
  <c r="L155" i="9"/>
  <c r="L142" i="9"/>
  <c r="L70" i="9"/>
  <c r="L262" i="9"/>
  <c r="L250" i="9"/>
  <c r="L226" i="9"/>
  <c r="L214" i="9"/>
  <c r="L178" i="9"/>
  <c r="L154" i="9"/>
  <c r="L238" i="9"/>
  <c r="L166" i="9"/>
  <c r="P46" i="9"/>
  <c r="L202" i="9"/>
  <c r="M229" i="9"/>
  <c r="M265" i="9"/>
  <c r="M241" i="9"/>
  <c r="M253" i="9"/>
  <c r="M193" i="9"/>
  <c r="P61" i="9"/>
  <c r="H8" i="3" s="1"/>
  <c r="M217" i="9"/>
  <c r="M181" i="9"/>
  <c r="K8" i="8"/>
  <c r="L188" i="9" s="1"/>
  <c r="M157" i="9"/>
  <c r="M169" i="9"/>
  <c r="M145" i="9"/>
  <c r="M121" i="9"/>
  <c r="M133" i="9"/>
  <c r="M73" i="9"/>
  <c r="M205" i="9"/>
  <c r="O44" i="9"/>
  <c r="C61" i="3" s="1"/>
  <c r="C6" i="3"/>
  <c r="M97" i="9"/>
  <c r="M85" i="9"/>
  <c r="M68" i="9"/>
  <c r="M80" i="9"/>
  <c r="M92" i="9"/>
  <c r="M104" i="9"/>
  <c r="M116" i="9"/>
  <c r="M128" i="9"/>
  <c r="M140" i="9"/>
  <c r="M152" i="9"/>
  <c r="M164" i="9"/>
  <c r="M176" i="9"/>
  <c r="M188" i="9"/>
  <c r="M200" i="9"/>
  <c r="M212" i="9"/>
  <c r="M224" i="9"/>
  <c r="M236" i="9"/>
  <c r="M248" i="9"/>
  <c r="M260" i="9"/>
  <c r="M66" i="9"/>
  <c r="M138" i="9"/>
  <c r="M198" i="9"/>
  <c r="M246" i="9"/>
  <c r="M78" i="9"/>
  <c r="M150" i="9"/>
  <c r="M90" i="9"/>
  <c r="M162" i="9"/>
  <c r="M210" i="9"/>
  <c r="M258" i="9"/>
  <c r="M102" i="9"/>
  <c r="M174" i="9"/>
  <c r="M222" i="9"/>
  <c r="M114" i="9"/>
  <c r="M126" i="9"/>
  <c r="M186" i="9"/>
  <c r="M234" i="9"/>
  <c r="M70" i="9"/>
  <c r="M94" i="9"/>
  <c r="M118" i="9"/>
  <c r="M142" i="9"/>
  <c r="M166" i="9"/>
  <c r="M190" i="9"/>
  <c r="M214" i="9"/>
  <c r="M238" i="9"/>
  <c r="M262" i="9"/>
  <c r="M82" i="9"/>
  <c r="M106" i="9"/>
  <c r="M130" i="9"/>
  <c r="M154" i="9"/>
  <c r="M178" i="9"/>
  <c r="M202" i="9"/>
  <c r="M226" i="9"/>
  <c r="M250" i="9"/>
  <c r="M84" i="9"/>
  <c r="M96" i="9"/>
  <c r="M120" i="9"/>
  <c r="M144" i="9"/>
  <c r="M168" i="9"/>
  <c r="M192" i="9"/>
  <c r="M216" i="9"/>
  <c r="M228" i="9"/>
  <c r="M240" i="9"/>
  <c r="M252" i="9"/>
  <c r="M264" i="9"/>
  <c r="M72" i="9"/>
  <c r="M108" i="9"/>
  <c r="M132" i="9"/>
  <c r="M156" i="9"/>
  <c r="M180" i="9"/>
  <c r="M204" i="9"/>
  <c r="M86" i="9"/>
  <c r="M110" i="9"/>
  <c r="M122" i="9"/>
  <c r="M146" i="9"/>
  <c r="M170" i="9"/>
  <c r="M194" i="9"/>
  <c r="M218" i="9"/>
  <c r="M242" i="9"/>
  <c r="M266" i="9"/>
  <c r="M74" i="9"/>
  <c r="M98" i="9"/>
  <c r="M134" i="9"/>
  <c r="M158" i="9"/>
  <c r="M182" i="9"/>
  <c r="M206" i="9"/>
  <c r="M230" i="9"/>
  <c r="M254" i="9"/>
  <c r="L86" i="9"/>
  <c r="L158" i="9"/>
  <c r="L230" i="9"/>
  <c r="L98" i="9"/>
  <c r="L170" i="9"/>
  <c r="L242" i="9"/>
  <c r="L134" i="9"/>
  <c r="L110" i="9"/>
  <c r="L182" i="9"/>
  <c r="L122" i="9"/>
  <c r="L194" i="9"/>
  <c r="L254" i="9"/>
  <c r="L218" i="9"/>
  <c r="L74" i="9"/>
  <c r="L146" i="9"/>
  <c r="L206" i="9"/>
  <c r="L266" i="9"/>
  <c r="L64" i="9"/>
  <c r="L76" i="9"/>
  <c r="L88" i="9"/>
  <c r="L100" i="9"/>
  <c r="L112" i="9"/>
  <c r="L124" i="9"/>
  <c r="L136" i="9"/>
  <c r="L148" i="9"/>
  <c r="L160" i="9"/>
  <c r="L172" i="9"/>
  <c r="L184" i="9"/>
  <c r="L196" i="9"/>
  <c r="L208" i="9"/>
  <c r="L220" i="9"/>
  <c r="L232" i="9"/>
  <c r="L244" i="9"/>
  <c r="L256" i="9"/>
  <c r="L66" i="9"/>
  <c r="L78" i="9"/>
  <c r="L114" i="9"/>
  <c r="L126" i="9"/>
  <c r="L150" i="9"/>
  <c r="L162" i="9"/>
  <c r="L174" i="9"/>
  <c r="L198" i="9"/>
  <c r="L210" i="9"/>
  <c r="L222" i="9"/>
  <c r="L234" i="9"/>
  <c r="L90" i="9"/>
  <c r="L102" i="9"/>
  <c r="L138" i="9"/>
  <c r="L186" i="9"/>
  <c r="L246" i="9"/>
  <c r="L258" i="9"/>
  <c r="L97" i="9"/>
  <c r="L169" i="9"/>
  <c r="L241" i="9"/>
  <c r="L109" i="9"/>
  <c r="L181" i="9"/>
  <c r="L73" i="9"/>
  <c r="L121" i="9"/>
  <c r="L193" i="9"/>
  <c r="L253" i="9"/>
  <c r="L133" i="9"/>
  <c r="L205" i="9"/>
  <c r="L145" i="9"/>
  <c r="L157" i="9"/>
  <c r="L217" i="9"/>
  <c r="L85" i="9"/>
  <c r="L229" i="9"/>
  <c r="L265" i="9"/>
  <c r="L249" i="9"/>
  <c r="L117" i="9"/>
  <c r="L189" i="9"/>
  <c r="L129" i="9"/>
  <c r="L201" i="9"/>
  <c r="L261" i="9"/>
  <c r="L69" i="9"/>
  <c r="L141" i="9"/>
  <c r="L213" i="9"/>
  <c r="L81" i="9"/>
  <c r="L153" i="9"/>
  <c r="L225" i="9"/>
  <c r="L165" i="9"/>
  <c r="L237" i="9"/>
  <c r="L177" i="9"/>
  <c r="L105" i="9"/>
  <c r="L93" i="9"/>
  <c r="L63" i="9"/>
  <c r="L75" i="9"/>
  <c r="L147" i="9"/>
  <c r="L219" i="9"/>
  <c r="L87" i="9"/>
  <c r="L159" i="9"/>
  <c r="L231" i="9"/>
  <c r="L99" i="9"/>
  <c r="L171" i="9"/>
  <c r="L243" i="9"/>
  <c r="L111" i="9"/>
  <c r="L183" i="9"/>
  <c r="L123" i="9"/>
  <c r="L195" i="9"/>
  <c r="L255" i="9"/>
  <c r="L135" i="9"/>
  <c r="L207" i="9"/>
  <c r="C62" i="3"/>
  <c r="C89" i="3"/>
  <c r="E89" i="3"/>
  <c r="E62" i="3"/>
  <c r="E61" i="3"/>
  <c r="H61" i="3"/>
  <c r="G33" i="3"/>
  <c r="D33" i="3"/>
  <c r="C35" i="3"/>
  <c r="E35" i="3"/>
  <c r="E34" i="3"/>
  <c r="H34" i="3"/>
  <c r="C8" i="3"/>
  <c r="D6" i="3"/>
  <c r="E8" i="3"/>
  <c r="E7" i="3"/>
  <c r="H7" i="3"/>
  <c r="C89" i="30"/>
  <c r="C35" i="30"/>
  <c r="D6" i="30"/>
  <c r="C62" i="30"/>
  <c r="C8" i="30"/>
  <c r="D33" i="30"/>
  <c r="E89" i="30"/>
  <c r="E62" i="30"/>
  <c r="E35" i="30"/>
  <c r="E8" i="30"/>
  <c r="E34" i="30"/>
  <c r="E61" i="30"/>
  <c r="E7" i="30"/>
  <c r="H34" i="30"/>
  <c r="H7" i="30"/>
  <c r="H61" i="30"/>
  <c r="I111" i="9"/>
  <c r="O12" i="30"/>
  <c r="O93" i="30"/>
  <c r="O66" i="30"/>
  <c r="O39" i="30"/>
  <c r="O66" i="3"/>
  <c r="O120" i="3"/>
  <c r="O93" i="3"/>
  <c r="O39" i="3"/>
  <c r="M57" i="9"/>
  <c r="P57" i="9"/>
  <c r="M45" i="9"/>
  <c r="P45" i="9"/>
  <c r="O121" i="30"/>
  <c r="AB10" i="16"/>
  <c r="L11" i="8"/>
  <c r="K12" i="8"/>
  <c r="O60" i="9"/>
  <c r="G8" i="3" s="1"/>
  <c r="O48" i="9"/>
  <c r="G61" i="3" s="1"/>
  <c r="P47" i="9"/>
  <c r="P59" i="9"/>
  <c r="X9" i="16"/>
  <c r="X12" i="16" s="1"/>
  <c r="H147" i="16" l="1"/>
  <c r="I147" i="16" s="1"/>
  <c r="I141" i="9" s="1"/>
  <c r="H148" i="16"/>
  <c r="I148" i="16" s="1"/>
  <c r="I142" i="9" s="1"/>
  <c r="H149" i="16"/>
  <c r="I149" i="16" s="1"/>
  <c r="I143" i="9" s="1"/>
  <c r="H152" i="16"/>
  <c r="I152" i="16" s="1"/>
  <c r="I146" i="9" s="1"/>
  <c r="H145" i="16"/>
  <c r="I145" i="16" s="1"/>
  <c r="I139" i="9" s="1"/>
  <c r="H143" i="16"/>
  <c r="I143" i="16" s="1"/>
  <c r="I137" i="9" s="1"/>
  <c r="H151" i="16"/>
  <c r="I151" i="16" s="1"/>
  <c r="I145" i="9" s="1"/>
  <c r="H146" i="16"/>
  <c r="I146" i="16" s="1"/>
  <c r="I140" i="9" s="1"/>
  <c r="H142" i="16"/>
  <c r="I142" i="16" s="1"/>
  <c r="I136" i="9" s="1"/>
  <c r="H150" i="16"/>
  <c r="I150" i="16" s="1"/>
  <c r="I144" i="9" s="1"/>
  <c r="H144" i="16"/>
  <c r="I144" i="16" s="1"/>
  <c r="I138" i="9" s="1"/>
  <c r="H141" i="16"/>
  <c r="I141" i="16" s="1"/>
  <c r="H62" i="3"/>
  <c r="H89" i="3"/>
  <c r="H35" i="3"/>
  <c r="L80" i="9"/>
  <c r="L128" i="9"/>
  <c r="L200" i="9"/>
  <c r="L140" i="9"/>
  <c r="L212" i="9"/>
  <c r="L68" i="9"/>
  <c r="L152" i="9"/>
  <c r="L248" i="9"/>
  <c r="L236" i="9"/>
  <c r="L164" i="9"/>
  <c r="L92" i="9"/>
  <c r="L224" i="9"/>
  <c r="C7" i="3"/>
  <c r="L260" i="9"/>
  <c r="L104" i="9"/>
  <c r="L176" i="9"/>
  <c r="L116" i="9"/>
  <c r="C7" i="30"/>
  <c r="C34" i="30"/>
  <c r="C61" i="30"/>
  <c r="C34" i="3"/>
  <c r="M71" i="9"/>
  <c r="M95" i="9"/>
  <c r="M119" i="9"/>
  <c r="M143" i="9"/>
  <c r="M167" i="9"/>
  <c r="M191" i="9"/>
  <c r="M215" i="9"/>
  <c r="M251" i="9"/>
  <c r="M83" i="9"/>
  <c r="M107" i="9"/>
  <c r="M131" i="9"/>
  <c r="M155" i="9"/>
  <c r="M179" i="9"/>
  <c r="M203" i="9"/>
  <c r="M227" i="9"/>
  <c r="M239" i="9"/>
  <c r="M263" i="9"/>
  <c r="L84" i="9"/>
  <c r="L96" i="9"/>
  <c r="L132" i="9"/>
  <c r="L180" i="9"/>
  <c r="L240" i="9"/>
  <c r="L72" i="9"/>
  <c r="L108" i="9"/>
  <c r="L120" i="9"/>
  <c r="L144" i="9"/>
  <c r="L156" i="9"/>
  <c r="L168" i="9"/>
  <c r="L192" i="9"/>
  <c r="L204" i="9"/>
  <c r="L216" i="9"/>
  <c r="L228" i="9"/>
  <c r="L252" i="9"/>
  <c r="L264" i="9"/>
  <c r="D89" i="3"/>
  <c r="G89" i="3"/>
  <c r="D61" i="3"/>
  <c r="D62" i="3"/>
  <c r="G62" i="3"/>
  <c r="D8" i="3"/>
  <c r="G7" i="3"/>
  <c r="D34" i="3"/>
  <c r="D35" i="3"/>
  <c r="G35" i="3"/>
  <c r="G34" i="3"/>
  <c r="D7" i="3"/>
  <c r="I123" i="9"/>
  <c r="O13" i="30"/>
  <c r="O67" i="30"/>
  <c r="O94" i="30"/>
  <c r="O40" i="30"/>
  <c r="O67" i="3"/>
  <c r="O94" i="3"/>
  <c r="O40" i="3"/>
  <c r="O121" i="3"/>
  <c r="L9" i="8"/>
  <c r="O14" i="30"/>
  <c r="AC10" i="16"/>
  <c r="Y9" i="16"/>
  <c r="Y12" i="16" s="1"/>
  <c r="H159" i="16" l="1"/>
  <c r="I159" i="16" s="1"/>
  <c r="I153" i="9" s="1"/>
  <c r="H160" i="16"/>
  <c r="I160" i="16" s="1"/>
  <c r="I154" i="9" s="1"/>
  <c r="H155" i="16"/>
  <c r="I155" i="16" s="1"/>
  <c r="I149" i="9" s="1"/>
  <c r="H161" i="16"/>
  <c r="I161" i="16" s="1"/>
  <c r="I155" i="9" s="1"/>
  <c r="H164" i="16"/>
  <c r="I164" i="16" s="1"/>
  <c r="I158" i="9" s="1"/>
  <c r="H157" i="16"/>
  <c r="I157" i="16" s="1"/>
  <c r="I151" i="9" s="1"/>
  <c r="H158" i="16"/>
  <c r="I158" i="16" s="1"/>
  <c r="I152" i="9" s="1"/>
  <c r="H163" i="16"/>
  <c r="I163" i="16" s="1"/>
  <c r="I157" i="9" s="1"/>
  <c r="H154" i="16"/>
  <c r="I154" i="16" s="1"/>
  <c r="I148" i="9" s="1"/>
  <c r="H162" i="16"/>
  <c r="I162" i="16" s="1"/>
  <c r="I156" i="9" s="1"/>
  <c r="H156" i="16"/>
  <c r="I156" i="16" s="1"/>
  <c r="I150" i="9" s="1"/>
  <c r="H153" i="16"/>
  <c r="I153" i="16" s="1"/>
  <c r="M213" i="9"/>
  <c r="M261" i="9"/>
  <c r="M69" i="9"/>
  <c r="M81" i="9"/>
  <c r="M93" i="9"/>
  <c r="M105" i="9"/>
  <c r="M117" i="9"/>
  <c r="M129" i="9"/>
  <c r="M141" i="9"/>
  <c r="M153" i="9"/>
  <c r="M165" i="9"/>
  <c r="M177" i="9"/>
  <c r="M189" i="9"/>
  <c r="M201" i="9"/>
  <c r="M225" i="9"/>
  <c r="M237" i="9"/>
  <c r="M249" i="9"/>
  <c r="O95" i="30"/>
  <c r="O68" i="30"/>
  <c r="O41" i="30"/>
  <c r="O122" i="30"/>
  <c r="O69" i="30"/>
  <c r="I135" i="9"/>
  <c r="O122" i="3"/>
  <c r="O95" i="3"/>
  <c r="O41" i="3"/>
  <c r="O68" i="3"/>
  <c r="AD10" i="16"/>
  <c r="Z9" i="16"/>
  <c r="Z12" i="16" s="1"/>
  <c r="H173" i="16" l="1"/>
  <c r="I173" i="16" s="1"/>
  <c r="I167" i="9" s="1"/>
  <c r="H176" i="16"/>
  <c r="I176" i="16" s="1"/>
  <c r="I170" i="9" s="1"/>
  <c r="H169" i="16"/>
  <c r="I169" i="16" s="1"/>
  <c r="I163" i="9" s="1"/>
  <c r="H167" i="16"/>
  <c r="I167" i="16" s="1"/>
  <c r="I161" i="9" s="1"/>
  <c r="H170" i="16"/>
  <c r="I170" i="16" s="1"/>
  <c r="I164" i="9" s="1"/>
  <c r="H175" i="16"/>
  <c r="I175" i="16" s="1"/>
  <c r="I169" i="9" s="1"/>
  <c r="H166" i="16"/>
  <c r="I166" i="16" s="1"/>
  <c r="I160" i="9" s="1"/>
  <c r="H174" i="16"/>
  <c r="I174" i="16" s="1"/>
  <c r="I168" i="9" s="1"/>
  <c r="H168" i="16"/>
  <c r="I168" i="16" s="1"/>
  <c r="I162" i="9" s="1"/>
  <c r="H165" i="16"/>
  <c r="I165" i="16" s="1"/>
  <c r="H171" i="16"/>
  <c r="I171" i="16" s="1"/>
  <c r="I165" i="9" s="1"/>
  <c r="H172" i="16"/>
  <c r="I172" i="16" s="1"/>
  <c r="I166" i="9" s="1"/>
  <c r="O42" i="30"/>
  <c r="O42" i="3"/>
  <c r="O96" i="3"/>
  <c r="O69" i="3"/>
  <c r="O15" i="30"/>
  <c r="O123" i="30"/>
  <c r="O123" i="3"/>
  <c r="O96" i="30"/>
  <c r="O97" i="3"/>
  <c r="I147" i="9"/>
  <c r="AE10" i="16"/>
  <c r="AA9" i="16"/>
  <c r="AA12" i="16" s="1"/>
  <c r="H185" i="16" l="1"/>
  <c r="I185" i="16" s="1"/>
  <c r="I179" i="9" s="1"/>
  <c r="H188" i="16"/>
  <c r="I188" i="16" s="1"/>
  <c r="I182" i="9" s="1"/>
  <c r="H181" i="16"/>
  <c r="I181" i="16" s="1"/>
  <c r="I175" i="9" s="1"/>
  <c r="H179" i="16"/>
  <c r="I179" i="16" s="1"/>
  <c r="I173" i="9" s="1"/>
  <c r="H187" i="16"/>
  <c r="I187" i="16" s="1"/>
  <c r="I181" i="9" s="1"/>
  <c r="H182" i="16"/>
  <c r="I182" i="16" s="1"/>
  <c r="I176" i="9" s="1"/>
  <c r="H178" i="16"/>
  <c r="I178" i="16" s="1"/>
  <c r="I172" i="9" s="1"/>
  <c r="H186" i="16"/>
  <c r="I186" i="16" s="1"/>
  <c r="I180" i="9" s="1"/>
  <c r="H180" i="16"/>
  <c r="I180" i="16" s="1"/>
  <c r="I174" i="9" s="1"/>
  <c r="H177" i="16"/>
  <c r="I177" i="16" s="1"/>
  <c r="H183" i="16"/>
  <c r="I183" i="16" s="1"/>
  <c r="I177" i="9" s="1"/>
  <c r="H184" i="16"/>
  <c r="I184" i="16" s="1"/>
  <c r="I178" i="9" s="1"/>
  <c r="O124" i="3"/>
  <c r="O70" i="3"/>
  <c r="O16" i="30"/>
  <c r="O43" i="3"/>
  <c r="O97" i="30"/>
  <c r="O43" i="30"/>
  <c r="O70" i="30"/>
  <c r="O124" i="30"/>
  <c r="O71" i="30"/>
  <c r="I159" i="9"/>
  <c r="AF10" i="16"/>
  <c r="AB9" i="16"/>
  <c r="AB12" i="16" s="1"/>
  <c r="H193" i="16" l="1"/>
  <c r="I193" i="16" s="1"/>
  <c r="I187" i="9" s="1"/>
  <c r="H191" i="16"/>
  <c r="I191" i="16" s="1"/>
  <c r="I185" i="9" s="1"/>
  <c r="H194" i="16"/>
  <c r="I194" i="16" s="1"/>
  <c r="I188" i="9" s="1"/>
  <c r="H199" i="16"/>
  <c r="H190" i="16"/>
  <c r="I190" i="16" s="1"/>
  <c r="I184" i="9" s="1"/>
  <c r="H198" i="16"/>
  <c r="I198" i="16" s="1"/>
  <c r="I192" i="9" s="1"/>
  <c r="H192" i="16"/>
  <c r="I192" i="16" s="1"/>
  <c r="I186" i="9" s="1"/>
  <c r="H189" i="16"/>
  <c r="I189" i="16" s="1"/>
  <c r="H195" i="16"/>
  <c r="I195" i="16" s="1"/>
  <c r="I189" i="9" s="1"/>
  <c r="H196" i="16"/>
  <c r="I196" i="16" s="1"/>
  <c r="I190" i="9" s="1"/>
  <c r="H197" i="16"/>
  <c r="I197" i="16" s="1"/>
  <c r="I191" i="9" s="1"/>
  <c r="H200" i="16"/>
  <c r="I200" i="16" s="1"/>
  <c r="I194" i="9" s="1"/>
  <c r="O44" i="3"/>
  <c r="O98" i="3"/>
  <c r="O125" i="3"/>
  <c r="O125" i="30"/>
  <c r="O98" i="30"/>
  <c r="O17" i="30"/>
  <c r="O44" i="30"/>
  <c r="O71" i="3"/>
  <c r="O126" i="3"/>
  <c r="I171" i="9"/>
  <c r="I265" i="16"/>
  <c r="I259" i="9" s="1"/>
  <c r="I266" i="16"/>
  <c r="I260" i="9" s="1"/>
  <c r="I268" i="16"/>
  <c r="I262" i="9" s="1"/>
  <c r="I263" i="16"/>
  <c r="I257" i="9" s="1"/>
  <c r="I271" i="16"/>
  <c r="I265" i="9" s="1"/>
  <c r="I267" i="16"/>
  <c r="I261" i="9" s="1"/>
  <c r="I262" i="16"/>
  <c r="I256" i="9" s="1"/>
  <c r="I264" i="16"/>
  <c r="I258" i="9" s="1"/>
  <c r="I269" i="16"/>
  <c r="I263" i="9" s="1"/>
  <c r="I261" i="16"/>
  <c r="I255" i="9" s="1"/>
  <c r="I270" i="16"/>
  <c r="I264" i="9" s="1"/>
  <c r="I272" i="16"/>
  <c r="I266" i="9" s="1"/>
  <c r="AC9" i="16"/>
  <c r="AC12" i="16" s="1"/>
  <c r="H205" i="16" l="1"/>
  <c r="H203" i="16"/>
  <c r="H206" i="16"/>
  <c r="I206" i="16" s="1"/>
  <c r="I200" i="9" s="1"/>
  <c r="H211" i="16"/>
  <c r="I211" i="16" s="1"/>
  <c r="I205" i="9" s="1"/>
  <c r="H202" i="16"/>
  <c r="H210" i="16"/>
  <c r="H204" i="16"/>
  <c r="H201" i="16"/>
  <c r="H207" i="16"/>
  <c r="I207" i="16" s="1"/>
  <c r="I201" i="9" s="1"/>
  <c r="H208" i="16"/>
  <c r="H209" i="16"/>
  <c r="H212" i="16"/>
  <c r="I212" i="16" s="1"/>
  <c r="I206" i="9" s="1"/>
  <c r="I183" i="9"/>
  <c r="O99" i="30"/>
  <c r="O18" i="30"/>
  <c r="O126" i="30"/>
  <c r="O45" i="3"/>
  <c r="O45" i="30"/>
  <c r="O99" i="3"/>
  <c r="O72" i="30"/>
  <c r="O72" i="3"/>
  <c r="AD9" i="16"/>
  <c r="AD12" i="16" s="1"/>
  <c r="H218" i="16" l="1"/>
  <c r="H223" i="16"/>
  <c r="H214" i="16"/>
  <c r="I214" i="16" s="1"/>
  <c r="I208" i="9" s="1"/>
  <c r="H222" i="16"/>
  <c r="I222" i="16" s="1"/>
  <c r="I216" i="9" s="1"/>
  <c r="H216" i="16"/>
  <c r="H213" i="16"/>
  <c r="H219" i="16"/>
  <c r="H220" i="16"/>
  <c r="I220" i="16" s="1"/>
  <c r="I214" i="9" s="1"/>
  <c r="H221" i="16"/>
  <c r="H224" i="16"/>
  <c r="I224" i="16" s="1"/>
  <c r="I218" i="9" s="1"/>
  <c r="H217" i="16"/>
  <c r="I217" i="16" s="1"/>
  <c r="I211" i="9" s="1"/>
  <c r="H215" i="16"/>
  <c r="I215" i="16" s="1"/>
  <c r="I209" i="9" s="1"/>
  <c r="AE9" i="16"/>
  <c r="AE12" i="16" s="1"/>
  <c r="H230" i="16" l="1"/>
  <c r="I230" i="16" s="1"/>
  <c r="I224" i="9" s="1"/>
  <c r="H235" i="16"/>
  <c r="I235" i="16" s="1"/>
  <c r="I229" i="9" s="1"/>
  <c r="H225" i="16"/>
  <c r="I225" i="16" s="1"/>
  <c r="H226" i="16"/>
  <c r="H234" i="16"/>
  <c r="H228" i="16"/>
  <c r="I228" i="16" s="1"/>
  <c r="I222" i="9" s="1"/>
  <c r="H231" i="16"/>
  <c r="I231" i="16" s="1"/>
  <c r="I225" i="9" s="1"/>
  <c r="H232" i="16"/>
  <c r="H233" i="16"/>
  <c r="I233" i="16" s="1"/>
  <c r="I227" i="9" s="1"/>
  <c r="H236" i="16"/>
  <c r="I236" i="16" s="1"/>
  <c r="I230" i="9" s="1"/>
  <c r="H229" i="16"/>
  <c r="I229" i="16" s="1"/>
  <c r="I223" i="9" s="1"/>
  <c r="H227" i="16"/>
  <c r="I227" i="16" s="1"/>
  <c r="I221" i="9" s="1"/>
  <c r="AF9" i="16"/>
  <c r="AF12" i="16" s="1"/>
  <c r="H238" i="16" l="1"/>
  <c r="I238" i="16" s="1"/>
  <c r="I232" i="9" s="1"/>
  <c r="H246" i="16"/>
  <c r="I246" i="16" s="1"/>
  <c r="I240" i="9" s="1"/>
  <c r="H240" i="16"/>
  <c r="H237" i="16"/>
  <c r="I237" i="16" s="1"/>
  <c r="H243" i="16"/>
  <c r="H244" i="16"/>
  <c r="I244" i="16" s="1"/>
  <c r="I238" i="9" s="1"/>
  <c r="H245" i="16"/>
  <c r="I245" i="16" s="1"/>
  <c r="I239" i="9" s="1"/>
  <c r="H248" i="16"/>
  <c r="I248" i="16" s="1"/>
  <c r="I242" i="9" s="1"/>
  <c r="H241" i="16"/>
  <c r="I241" i="16" s="1"/>
  <c r="I235" i="9" s="1"/>
  <c r="H239" i="16"/>
  <c r="I239" i="16" s="1"/>
  <c r="I233" i="9" s="1"/>
  <c r="H242" i="16"/>
  <c r="I242" i="16" s="1"/>
  <c r="I236" i="9" s="1"/>
  <c r="H247" i="16"/>
  <c r="I247" i="16" s="1"/>
  <c r="I241" i="9" s="1"/>
  <c r="I219" i="9"/>
  <c r="I203" i="16"/>
  <c r="I197" i="9" s="1"/>
  <c r="I208" i="16"/>
  <c r="I202" i="9" s="1"/>
  <c r="I210" i="16"/>
  <c r="I204" i="9" s="1"/>
  <c r="I219" i="16"/>
  <c r="I213" i="9" s="1"/>
  <c r="I221" i="16"/>
  <c r="I215" i="9" s="1"/>
  <c r="I202" i="16"/>
  <c r="I196" i="9" s="1"/>
  <c r="I204" i="16"/>
  <c r="I198" i="9" s="1"/>
  <c r="I218" i="16"/>
  <c r="I212" i="9" s="1"/>
  <c r="I209" i="16"/>
  <c r="I203" i="9" s="1"/>
  <c r="I216" i="16"/>
  <c r="I210" i="9" s="1"/>
  <c r="I205" i="16"/>
  <c r="I199" i="9" s="1"/>
  <c r="I223" i="16"/>
  <c r="I217" i="9" s="1"/>
  <c r="I234" i="16"/>
  <c r="I228" i="9" s="1"/>
  <c r="I232" i="16"/>
  <c r="I226" i="9" s="1"/>
  <c r="I243" i="16"/>
  <c r="I237" i="9" s="1"/>
  <c r="I240" i="16"/>
  <c r="I234" i="9" s="1"/>
  <c r="I254" i="16"/>
  <c r="I248" i="9" s="1"/>
  <c r="I260" i="16"/>
  <c r="I254" i="9" s="1"/>
  <c r="I259" i="16"/>
  <c r="I253" i="9" s="1"/>
  <c r="I255" i="16"/>
  <c r="I249" i="9" s="1"/>
  <c r="I257" i="16"/>
  <c r="I251" i="9" s="1"/>
  <c r="I256" i="16"/>
  <c r="I250" i="9" s="1"/>
  <c r="I253" i="16"/>
  <c r="I247" i="9" s="1"/>
  <c r="I251" i="16"/>
  <c r="I245" i="9" s="1"/>
  <c r="I252" i="16"/>
  <c r="I246" i="9" s="1"/>
  <c r="I250" i="16"/>
  <c r="I244" i="9" s="1"/>
  <c r="I258" i="16"/>
  <c r="I252" i="9" s="1"/>
  <c r="I231" i="9" l="1"/>
  <c r="I226" i="16"/>
  <c r="I213" i="16"/>
  <c r="I199" i="16"/>
  <c r="I249" i="16"/>
  <c r="O131" i="30"/>
  <c r="I201" i="16"/>
  <c r="O77" i="30" l="1"/>
  <c r="O104" i="30"/>
  <c r="O23" i="30"/>
  <c r="O50" i="30"/>
  <c r="O74" i="30"/>
  <c r="I195" i="9"/>
  <c r="O102" i="3"/>
  <c r="I207" i="9"/>
  <c r="O132" i="30"/>
  <c r="I243" i="9"/>
  <c r="O100" i="3"/>
  <c r="I193" i="9"/>
  <c r="O130" i="3"/>
  <c r="I220" i="9"/>
  <c r="O47" i="3"/>
  <c r="O50" i="3"/>
  <c r="O131" i="3"/>
  <c r="O77" i="3"/>
  <c r="O104" i="3"/>
  <c r="O105" i="3" l="1"/>
  <c r="O74" i="3"/>
  <c r="O20" i="30"/>
  <c r="O101" i="30"/>
  <c r="O47" i="30"/>
  <c r="O128" i="30"/>
  <c r="O129" i="3"/>
  <c r="O75" i="30"/>
  <c r="O48" i="30"/>
  <c r="O101" i="3"/>
  <c r="O129" i="30"/>
  <c r="O128" i="3"/>
  <c r="O51" i="30"/>
  <c r="O102" i="30"/>
  <c r="O21" i="30"/>
  <c r="O75" i="3"/>
  <c r="O51" i="3"/>
  <c r="O6" i="30"/>
  <c r="O33" i="30"/>
  <c r="O61" i="30"/>
  <c r="O34" i="30"/>
  <c r="O7" i="30"/>
  <c r="O35" i="30"/>
  <c r="O62" i="30"/>
  <c r="O89" i="30"/>
  <c r="O117" i="30"/>
  <c r="O63" i="30"/>
  <c r="O90" i="30"/>
  <c r="O91" i="30"/>
  <c r="O92" i="30"/>
  <c r="O19" i="30"/>
  <c r="O130" i="30"/>
  <c r="O46" i="30"/>
  <c r="O127" i="3"/>
  <c r="O105" i="30"/>
  <c r="O49" i="30"/>
  <c r="O127" i="30"/>
  <c r="O48" i="3"/>
  <c r="O24" i="30"/>
  <c r="O103" i="30"/>
  <c r="O73" i="30"/>
  <c r="O22" i="30"/>
  <c r="O78" i="30"/>
  <c r="O76" i="30"/>
  <c r="O100" i="30"/>
  <c r="O49" i="3"/>
  <c r="O103" i="3"/>
  <c r="O76" i="3"/>
  <c r="O73" i="3"/>
  <c r="O46" i="3"/>
  <c r="O78" i="3"/>
  <c r="O132" i="3"/>
  <c r="O9" i="3"/>
  <c r="O16" i="3"/>
  <c r="O24" i="3"/>
  <c r="O23" i="3"/>
  <c r="O11" i="3"/>
  <c r="O10" i="3"/>
  <c r="O18" i="3"/>
  <c r="O17" i="3"/>
  <c r="O21" i="3"/>
  <c r="O15" i="3"/>
  <c r="O20" i="3"/>
  <c r="O14" i="3"/>
  <c r="O22" i="3"/>
  <c r="O13" i="3"/>
  <c r="O19" i="3"/>
  <c r="O12" i="3"/>
  <c r="J254" i="9"/>
  <c r="J64" i="9"/>
  <c r="J141" i="9"/>
  <c r="J226" i="9"/>
  <c r="J245" i="9"/>
  <c r="J173" i="9"/>
  <c r="J266" i="9"/>
  <c r="J158" i="9"/>
  <c r="J231" i="9"/>
  <c r="J123" i="9"/>
  <c r="J196" i="9"/>
  <c r="J100" i="9"/>
  <c r="J260" i="9"/>
  <c r="J239" i="9"/>
  <c r="J155" i="9"/>
  <c r="J83" i="9"/>
  <c r="J235" i="9"/>
  <c r="J127" i="9"/>
  <c r="J205" i="9"/>
  <c r="J109" i="9"/>
  <c r="J258" i="9"/>
  <c r="J210" i="9"/>
  <c r="J261" i="9"/>
  <c r="J81" i="9"/>
  <c r="J228" i="9"/>
  <c r="J132" i="9"/>
  <c r="J202" i="9"/>
  <c r="J106" i="9"/>
  <c r="J171" i="9"/>
  <c r="J188" i="9"/>
  <c r="J67" i="9"/>
  <c r="J189" i="9"/>
  <c r="J156" i="9"/>
  <c r="J257" i="9"/>
  <c r="J161" i="9"/>
  <c r="J65" i="9"/>
  <c r="J242" i="9"/>
  <c r="J146" i="9"/>
  <c r="J219" i="9"/>
  <c r="J111" i="9"/>
  <c r="J172" i="9"/>
  <c r="J88" i="9"/>
  <c r="J248" i="9"/>
  <c r="J164" i="9"/>
  <c r="J68" i="9"/>
  <c r="J227" i="9"/>
  <c r="J143" i="9"/>
  <c r="J223" i="9"/>
  <c r="J115" i="9"/>
  <c r="P115" i="9" s="1"/>
  <c r="J193" i="9"/>
  <c r="J97" i="9"/>
  <c r="J162" i="9"/>
  <c r="J198" i="9"/>
  <c r="J78" i="9"/>
  <c r="J153" i="9"/>
  <c r="J165" i="9"/>
  <c r="J216" i="9"/>
  <c r="J120" i="9"/>
  <c r="J190" i="9"/>
  <c r="J94" i="9"/>
  <c r="J220" i="9"/>
  <c r="J167" i="9"/>
  <c r="J84" i="9"/>
  <c r="J233" i="9"/>
  <c r="J149" i="9"/>
  <c r="J77" i="9"/>
  <c r="J230" i="9"/>
  <c r="J134" i="9"/>
  <c r="J207" i="9"/>
  <c r="J99" i="9"/>
  <c r="J244" i="9"/>
  <c r="J236" i="9"/>
  <c r="J152" i="9"/>
  <c r="J215" i="9"/>
  <c r="J131" i="9"/>
  <c r="J211" i="9"/>
  <c r="J103" i="9"/>
  <c r="J253" i="9"/>
  <c r="J73" i="9"/>
  <c r="J150" i="9"/>
  <c r="J186" i="9"/>
  <c r="J66" i="9"/>
  <c r="J237" i="9"/>
  <c r="J129" i="9"/>
  <c r="J204" i="9"/>
  <c r="J108" i="9"/>
  <c r="J250" i="9"/>
  <c r="J124" i="9"/>
  <c r="J163" i="9"/>
  <c r="J102" i="9"/>
  <c r="J252" i="9"/>
  <c r="J221" i="9"/>
  <c r="J137" i="9"/>
  <c r="J218" i="9"/>
  <c r="J122" i="9"/>
  <c r="J195" i="9"/>
  <c r="J87" i="9"/>
  <c r="J256" i="9"/>
  <c r="J160" i="9"/>
  <c r="J224" i="9"/>
  <c r="J140" i="9"/>
  <c r="J203" i="9"/>
  <c r="J119" i="9"/>
  <c r="J199" i="9"/>
  <c r="J91" i="9"/>
  <c r="J157" i="9"/>
  <c r="J169" i="9"/>
  <c r="J85" i="9"/>
  <c r="J174" i="9"/>
  <c r="J225" i="9"/>
  <c r="J117" i="9"/>
  <c r="J69" i="9"/>
  <c r="J96" i="9"/>
  <c r="J262" i="9"/>
  <c r="J178" i="9"/>
  <c r="J70" i="9"/>
  <c r="J74" i="9"/>
  <c r="J104" i="9"/>
  <c r="J133" i="9"/>
  <c r="J125" i="9"/>
  <c r="J110" i="9"/>
  <c r="J243" i="9"/>
  <c r="J183" i="9"/>
  <c r="J184" i="9"/>
  <c r="J148" i="9"/>
  <c r="J76" i="9"/>
  <c r="J212" i="9"/>
  <c r="J128" i="9"/>
  <c r="J80" i="9"/>
  <c r="J191" i="9"/>
  <c r="J107" i="9"/>
  <c r="J247" i="9"/>
  <c r="J187" i="9"/>
  <c r="J79" i="9"/>
  <c r="J265" i="9"/>
  <c r="J181" i="9"/>
  <c r="J138" i="9"/>
  <c r="J126" i="9"/>
  <c r="J213" i="9"/>
  <c r="J105" i="9"/>
  <c r="J192" i="9"/>
  <c r="J180" i="9"/>
  <c r="J72" i="9"/>
  <c r="J166" i="9"/>
  <c r="J154" i="9"/>
  <c r="J101" i="9"/>
  <c r="J71" i="9"/>
  <c r="J234" i="9"/>
  <c r="J209" i="9"/>
  <c r="J206" i="9"/>
  <c r="J197" i="9"/>
  <c r="J113" i="9"/>
  <c r="J194" i="9"/>
  <c r="P194" i="9" s="1"/>
  <c r="J98" i="9"/>
  <c r="J255" i="9"/>
  <c r="J159" i="9"/>
  <c r="J75" i="9"/>
  <c r="J232" i="9"/>
  <c r="J136" i="9"/>
  <c r="J200" i="9"/>
  <c r="J116" i="9"/>
  <c r="J95" i="9"/>
  <c r="J259" i="9"/>
  <c r="J175" i="9"/>
  <c r="J241" i="9"/>
  <c r="J145" i="9"/>
  <c r="J246" i="9"/>
  <c r="J114" i="9"/>
  <c r="J201" i="9"/>
  <c r="J93" i="9"/>
  <c r="J264" i="9"/>
  <c r="J168" i="9"/>
  <c r="J238" i="9"/>
  <c r="J142" i="9"/>
  <c r="J82" i="9"/>
  <c r="J185" i="9"/>
  <c r="J251" i="9"/>
  <c r="J229" i="9"/>
  <c r="J130" i="9"/>
  <c r="J89" i="9"/>
  <c r="J170" i="9"/>
  <c r="J182" i="9"/>
  <c r="J86" i="9"/>
  <c r="J135" i="9"/>
  <c r="J147" i="9"/>
  <c r="J63" i="9"/>
  <c r="J208" i="9"/>
  <c r="J112" i="9"/>
  <c r="J176" i="9"/>
  <c r="J92" i="9"/>
  <c r="J263" i="9"/>
  <c r="J179" i="9"/>
  <c r="J151" i="9"/>
  <c r="J139" i="9"/>
  <c r="J217" i="9"/>
  <c r="P217" i="9" s="1"/>
  <c r="J121" i="9"/>
  <c r="J222" i="9"/>
  <c r="J90" i="9"/>
  <c r="J249" i="9"/>
  <c r="J177" i="9"/>
  <c r="J240" i="9"/>
  <c r="J144" i="9"/>
  <c r="J214" i="9"/>
  <c r="J118" i="9"/>
  <c r="O133" i="9"/>
  <c r="O169" i="9"/>
  <c r="O128" i="9"/>
  <c r="O114" i="9"/>
  <c r="O104" i="9"/>
  <c r="O168" i="9"/>
  <c r="O248" i="9"/>
  <c r="O76" i="9"/>
  <c r="O190" i="9"/>
  <c r="O153" i="9"/>
  <c r="O240" i="9"/>
  <c r="O198" i="9"/>
  <c r="O201" i="9"/>
  <c r="O89" i="9"/>
  <c r="O96" i="9"/>
  <c r="O85" i="9"/>
  <c r="O196" i="9"/>
  <c r="O122" i="9"/>
  <c r="O172" i="9"/>
  <c r="O243" i="9"/>
  <c r="O65" i="9"/>
  <c r="O100" i="9"/>
  <c r="O167" i="9"/>
  <c r="O143" i="9"/>
  <c r="O221" i="9"/>
  <c r="O140" i="9"/>
  <c r="O159" i="9"/>
  <c r="O149" i="9"/>
  <c r="O223" i="9"/>
  <c r="O161" i="9"/>
  <c r="O87" i="9"/>
  <c r="O142" i="9"/>
  <c r="O75" i="9"/>
  <c r="O245" i="9"/>
  <c r="O77" i="9"/>
  <c r="O177" i="9"/>
  <c r="O63" i="9"/>
  <c r="O232" i="9"/>
  <c r="O259" i="9"/>
  <c r="O90" i="9"/>
  <c r="O235" i="9"/>
  <c r="O95" i="9"/>
  <c r="O187" i="9"/>
  <c r="O171" i="9"/>
  <c r="O125" i="9"/>
  <c r="O197" i="9"/>
  <c r="O103" i="9"/>
  <c r="O195" i="9"/>
  <c r="O173" i="9"/>
  <c r="O179" i="9"/>
  <c r="O237" i="9"/>
  <c r="O261" i="9"/>
  <c r="P76" i="9" l="1"/>
  <c r="P240" i="9"/>
  <c r="P245" i="9"/>
  <c r="P172" i="9"/>
  <c r="P70" i="9"/>
  <c r="P235" i="9"/>
  <c r="P190" i="9"/>
  <c r="P149" i="9"/>
  <c r="P103" i="9"/>
  <c r="P110" i="9"/>
  <c r="P129" i="9"/>
  <c r="P242" i="9"/>
  <c r="P81" i="9"/>
  <c r="P236" i="9"/>
  <c r="P152" i="9"/>
  <c r="P201" i="9"/>
  <c r="P237" i="9"/>
  <c r="P161" i="9"/>
  <c r="P196" i="9"/>
  <c r="P248" i="9"/>
  <c r="P252" i="9"/>
  <c r="P178" i="9"/>
  <c r="P213" i="9"/>
  <c r="P88" i="9"/>
  <c r="P63" i="9"/>
  <c r="P126" i="9"/>
  <c r="P139" i="9"/>
  <c r="P215" i="9"/>
  <c r="P256" i="9"/>
  <c r="P175" i="9"/>
  <c r="P89" i="9"/>
  <c r="P247" i="9"/>
  <c r="P159" i="9"/>
  <c r="P67" i="9"/>
  <c r="P249" i="9"/>
  <c r="P171" i="9"/>
  <c r="P265" i="9"/>
  <c r="P261" i="9"/>
  <c r="P244" i="9"/>
  <c r="P112" i="9"/>
  <c r="P73" i="9"/>
  <c r="P198" i="9"/>
  <c r="P125" i="9"/>
  <c r="P142" i="9"/>
  <c r="P158" i="9"/>
  <c r="P199" i="9"/>
  <c r="P206" i="9"/>
  <c r="P166" i="9"/>
  <c r="P104" i="9"/>
  <c r="P116" i="9"/>
  <c r="P195" i="9"/>
  <c r="P182" i="9"/>
  <c r="O107" i="9"/>
  <c r="O214" i="9"/>
  <c r="P111" i="9"/>
  <c r="O147" i="9"/>
  <c r="P118" i="9"/>
  <c r="P186" i="9"/>
  <c r="P83" i="9"/>
  <c r="P74" i="9"/>
  <c r="P140" i="9"/>
  <c r="O137" i="9"/>
  <c r="O193" i="9"/>
  <c r="O116" i="9"/>
  <c r="P164" i="9"/>
  <c r="P233" i="9"/>
  <c r="P133" i="9"/>
  <c r="O264" i="9"/>
  <c r="O215" i="9"/>
  <c r="P146" i="9"/>
  <c r="P96" i="9"/>
  <c r="P209" i="9"/>
  <c r="O211" i="9"/>
  <c r="P122" i="9"/>
  <c r="P117" i="9"/>
  <c r="O138" i="9"/>
  <c r="O148" i="9"/>
  <c r="P163" i="9"/>
  <c r="O99" i="9"/>
  <c r="P189" i="9"/>
  <c r="P193" i="9"/>
  <c r="P169" i="9"/>
  <c r="O224" i="9"/>
  <c r="O258" i="9"/>
  <c r="P179" i="9"/>
  <c r="O130" i="9"/>
  <c r="P90" i="9"/>
  <c r="N10" i="3"/>
  <c r="O72" i="9"/>
  <c r="O188" i="9"/>
  <c r="O94" i="9"/>
  <c r="P173" i="9"/>
  <c r="P223" i="9"/>
  <c r="P85" i="9"/>
  <c r="P212" i="9"/>
  <c r="P204" i="9"/>
  <c r="O82" i="9"/>
  <c r="O247" i="9"/>
  <c r="P127" i="9"/>
  <c r="P94" i="9"/>
  <c r="P114" i="9"/>
  <c r="P77" i="9"/>
  <c r="O249" i="9"/>
  <c r="P187" i="9"/>
  <c r="P260" i="9"/>
  <c r="O115" i="9"/>
  <c r="P143" i="9"/>
  <c r="O163" i="9"/>
  <c r="P255" i="9"/>
  <c r="O205" i="9"/>
  <c r="O118" i="9"/>
  <c r="P102" i="9"/>
  <c r="O152" i="9"/>
  <c r="O254" i="9"/>
  <c r="O203" i="9"/>
  <c r="O78" i="9"/>
  <c r="O102" i="9"/>
  <c r="P82" i="9"/>
  <c r="P151" i="9"/>
  <c r="P262" i="9"/>
  <c r="O206" i="9"/>
  <c r="E128" i="30" s="1"/>
  <c r="P203" i="9"/>
  <c r="O166" i="9"/>
  <c r="P78" i="9"/>
  <c r="O88" i="9"/>
  <c r="P259" i="9"/>
  <c r="O246" i="9"/>
  <c r="O238" i="9"/>
  <c r="O262" i="9"/>
  <c r="O81" i="9"/>
  <c r="P208" i="9"/>
  <c r="P253" i="9"/>
  <c r="P188" i="9"/>
  <c r="P197" i="9"/>
  <c r="P65" i="9"/>
  <c r="O244" i="9"/>
  <c r="P75" i="9"/>
  <c r="O236" i="9"/>
  <c r="P170" i="9"/>
  <c r="O129" i="9"/>
  <c r="O127" i="9"/>
  <c r="O208" i="9"/>
  <c r="O151" i="9"/>
  <c r="O126" i="9"/>
  <c r="P100" i="9"/>
  <c r="O220" i="9"/>
  <c r="P216" i="9"/>
  <c r="O199" i="9"/>
  <c r="O239" i="9"/>
  <c r="P69" i="9"/>
  <c r="P232" i="9"/>
  <c r="O233" i="9"/>
  <c r="P191" i="9"/>
  <c r="O230" i="9"/>
  <c r="O123" i="9"/>
  <c r="P106" i="9"/>
  <c r="P218" i="9"/>
  <c r="O242" i="9"/>
  <c r="O157" i="9"/>
  <c r="P263" i="9"/>
  <c r="P185" i="9"/>
  <c r="O184" i="9"/>
  <c r="P224" i="9"/>
  <c r="P93" i="9"/>
  <c r="O266" i="9"/>
  <c r="O139" i="9"/>
  <c r="P246" i="9"/>
  <c r="P124" i="9"/>
  <c r="O69" i="9"/>
  <c r="P107" i="9"/>
  <c r="O253" i="9"/>
  <c r="P154" i="9"/>
  <c r="O135" i="9"/>
  <c r="P120" i="9"/>
  <c r="O98" i="9"/>
  <c r="P138" i="9"/>
  <c r="O218" i="9"/>
  <c r="P130" i="9"/>
  <c r="O83" i="9"/>
  <c r="O200" i="9"/>
  <c r="P99" i="9"/>
  <c r="O227" i="9"/>
  <c r="O162" i="9"/>
  <c r="G44" i="30" s="1"/>
  <c r="P226" i="9"/>
  <c r="P210" i="9"/>
  <c r="O263" i="9"/>
  <c r="P214" i="9"/>
  <c r="P222" i="9"/>
  <c r="P123" i="9"/>
  <c r="O210" i="9"/>
  <c r="P148" i="9"/>
  <c r="P257" i="9"/>
  <c r="O106" i="9"/>
  <c r="P157" i="9"/>
  <c r="O234" i="9"/>
  <c r="O180" i="9"/>
  <c r="O111" i="9"/>
  <c r="P227" i="9"/>
  <c r="O229" i="9"/>
  <c r="P211" i="9"/>
  <c r="P162" i="9"/>
  <c r="P95" i="9"/>
  <c r="O141" i="9"/>
  <c r="P192" i="9"/>
  <c r="P200" i="9"/>
  <c r="O216" i="9"/>
  <c r="P168" i="9"/>
  <c r="P165" i="9"/>
  <c r="P121" i="9"/>
  <c r="P167" i="9"/>
  <c r="P92" i="9"/>
  <c r="O79" i="9"/>
  <c r="O150" i="9"/>
  <c r="P128" i="9"/>
  <c r="O207" i="9"/>
  <c r="P243" i="9"/>
  <c r="P183" i="9"/>
  <c r="P241" i="9"/>
  <c r="O186" i="9"/>
  <c r="P101" i="9"/>
  <c r="O112" i="9"/>
  <c r="O241" i="9"/>
  <c r="O134" i="9"/>
  <c r="O64" i="9"/>
  <c r="O145" i="9"/>
  <c r="O154" i="9"/>
  <c r="O80" i="9"/>
  <c r="O131" i="9"/>
  <c r="P176" i="9"/>
  <c r="O155" i="9"/>
  <c r="O178" i="9"/>
  <c r="O91" i="9"/>
  <c r="O74" i="9"/>
  <c r="O160" i="9"/>
  <c r="P109" i="9"/>
  <c r="P135" i="9"/>
  <c r="O93" i="9"/>
  <c r="P184" i="9"/>
  <c r="P160" i="9"/>
  <c r="O92" i="9"/>
  <c r="P225" i="9"/>
  <c r="O219" i="9"/>
  <c r="O226" i="9"/>
  <c r="O222" i="9"/>
  <c r="O209" i="9"/>
  <c r="P134" i="9"/>
  <c r="O189" i="9"/>
  <c r="O158" i="9"/>
  <c r="O84" i="9"/>
  <c r="O68" i="9"/>
  <c r="O124" i="9"/>
  <c r="P79" i="9"/>
  <c r="P72" i="9"/>
  <c r="P91" i="9"/>
  <c r="P220" i="9"/>
  <c r="P119" i="9"/>
  <c r="O132" i="9"/>
  <c r="P87" i="9"/>
  <c r="O256" i="9"/>
  <c r="O109" i="9"/>
  <c r="P177" i="9"/>
  <c r="O252" i="9"/>
  <c r="P145" i="9"/>
  <c r="P136" i="9"/>
  <c r="P230" i="9"/>
  <c r="P202" i="9"/>
  <c r="O146" i="9"/>
  <c r="P141" i="9"/>
  <c r="P153" i="9"/>
  <c r="P258" i="9"/>
  <c r="P86" i="9"/>
  <c r="P66" i="9"/>
  <c r="P254" i="9"/>
  <c r="P71" i="9"/>
  <c r="O136" i="9"/>
  <c r="P229" i="9"/>
  <c r="P251" i="9"/>
  <c r="P98" i="9"/>
  <c r="P264" i="9"/>
  <c r="P108" i="9"/>
  <c r="P144" i="9"/>
  <c r="O101" i="9"/>
  <c r="P80" i="9"/>
  <c r="P64" i="9"/>
  <c r="O204" i="9"/>
  <c r="O70" i="9"/>
  <c r="P181" i="9"/>
  <c r="O202" i="9"/>
  <c r="P132" i="9"/>
  <c r="O164" i="9"/>
  <c r="O170" i="9"/>
  <c r="O108" i="9"/>
  <c r="P250" i="9"/>
  <c r="P238" i="9"/>
  <c r="O113" i="9"/>
  <c r="O182" i="9"/>
  <c r="E18" i="30" s="1"/>
  <c r="O213" i="9"/>
  <c r="P174" i="9"/>
  <c r="O165" i="9"/>
  <c r="O217" i="9"/>
  <c r="O119" i="9"/>
  <c r="P156" i="9"/>
  <c r="O181" i="9"/>
  <c r="P105" i="9"/>
  <c r="O144" i="9"/>
  <c r="O191" i="9"/>
  <c r="P221" i="9"/>
  <c r="O97" i="9"/>
  <c r="P131" i="9"/>
  <c r="O176" i="9"/>
  <c r="O250" i="9"/>
  <c r="O265" i="9"/>
  <c r="P113" i="9"/>
  <c r="P180" i="9"/>
  <c r="P150" i="9"/>
  <c r="O192" i="9"/>
  <c r="O156" i="9"/>
  <c r="P147" i="9"/>
  <c r="O255" i="9"/>
  <c r="O212" i="9"/>
  <c r="O228" i="9"/>
  <c r="P219" i="9"/>
  <c r="O105" i="9"/>
  <c r="O73" i="9"/>
  <c r="O175" i="9"/>
  <c r="O185" i="9"/>
  <c r="P266" i="9"/>
  <c r="P137" i="9"/>
  <c r="P231" i="9"/>
  <c r="P239" i="9"/>
  <c r="O174" i="9"/>
  <c r="O260" i="9"/>
  <c r="P97" i="9"/>
  <c r="O66" i="9"/>
  <c r="P205" i="9"/>
  <c r="O121" i="9"/>
  <c r="O86" i="9"/>
  <c r="E37" i="30" s="1"/>
  <c r="O117" i="9"/>
  <c r="O225" i="9"/>
  <c r="P84" i="9"/>
  <c r="P155" i="9"/>
  <c r="O231" i="9"/>
  <c r="P207" i="9"/>
  <c r="O71" i="9"/>
  <c r="O67" i="9"/>
  <c r="O120" i="9"/>
  <c r="O183" i="9"/>
  <c r="P234" i="9"/>
  <c r="O251" i="9"/>
  <c r="O194" i="9"/>
  <c r="P68" i="9"/>
  <c r="P228" i="9"/>
  <c r="O257" i="9"/>
  <c r="O110" i="9"/>
  <c r="M64" i="3"/>
  <c r="M37" i="3"/>
  <c r="L61" i="3"/>
  <c r="L34" i="3"/>
  <c r="L7" i="3"/>
  <c r="K33" i="3"/>
  <c r="K6" i="3"/>
  <c r="L33" i="3"/>
  <c r="L6" i="3"/>
  <c r="M118" i="3"/>
  <c r="M10" i="3"/>
  <c r="M91" i="3"/>
  <c r="G101" i="3" l="1"/>
  <c r="E131" i="3"/>
  <c r="F123" i="3"/>
  <c r="F129" i="3"/>
  <c r="C123" i="3"/>
  <c r="E125" i="3"/>
  <c r="G118" i="3"/>
  <c r="G124" i="3"/>
  <c r="F122" i="3"/>
  <c r="C122" i="3"/>
  <c r="E132" i="3"/>
  <c r="C130" i="3"/>
  <c r="E90" i="3"/>
  <c r="G131" i="3"/>
  <c r="H124" i="3"/>
  <c r="D130" i="3"/>
  <c r="D128" i="3"/>
  <c r="C117" i="3"/>
  <c r="C118" i="3"/>
  <c r="C131" i="3"/>
  <c r="F119" i="3"/>
  <c r="D117" i="3"/>
  <c r="G126" i="3"/>
  <c r="E119" i="3"/>
  <c r="G132" i="3"/>
  <c r="H126" i="3"/>
  <c r="F125" i="3"/>
  <c r="D120" i="3"/>
  <c r="C127" i="3"/>
  <c r="G127" i="3"/>
  <c r="G122" i="3"/>
  <c r="D121" i="3"/>
  <c r="E127" i="3"/>
  <c r="C120" i="3"/>
  <c r="G130" i="3"/>
  <c r="G117" i="3"/>
  <c r="F130" i="3"/>
  <c r="H129" i="3"/>
  <c r="F126" i="3"/>
  <c r="G128" i="3"/>
  <c r="G121" i="3"/>
  <c r="H121" i="3"/>
  <c r="D118" i="3"/>
  <c r="F132" i="3"/>
  <c r="C125" i="3"/>
  <c r="G123" i="3"/>
  <c r="D127" i="3"/>
  <c r="H130" i="3"/>
  <c r="E129" i="3"/>
  <c r="E122" i="3"/>
  <c r="C124" i="3"/>
  <c r="D124" i="3"/>
  <c r="C129" i="3"/>
  <c r="F117" i="3"/>
  <c r="C121" i="3"/>
  <c r="G125" i="3"/>
  <c r="G119" i="3"/>
  <c r="H118" i="3"/>
  <c r="F131" i="3"/>
  <c r="G129" i="3"/>
  <c r="E121" i="3"/>
  <c r="E123" i="3"/>
  <c r="H127" i="3"/>
  <c r="F118" i="3"/>
  <c r="E120" i="3"/>
  <c r="F121" i="3"/>
  <c r="H122" i="3"/>
  <c r="H119" i="3"/>
  <c r="E117" i="3"/>
  <c r="F124" i="3"/>
  <c r="E124" i="3"/>
  <c r="H123" i="3"/>
  <c r="C119" i="3"/>
  <c r="H120" i="3"/>
  <c r="C128" i="3"/>
  <c r="D125" i="3"/>
  <c r="H131" i="3"/>
  <c r="D126" i="3"/>
  <c r="H125" i="3"/>
  <c r="D131" i="3"/>
  <c r="E118" i="3"/>
  <c r="D129" i="3"/>
  <c r="G120" i="3"/>
  <c r="D132" i="3"/>
  <c r="H117" i="3"/>
  <c r="D122" i="3"/>
  <c r="E126" i="3"/>
  <c r="D119" i="3"/>
  <c r="E130" i="3"/>
  <c r="H128" i="3"/>
  <c r="C132" i="3"/>
  <c r="E128" i="3"/>
  <c r="C126" i="3"/>
  <c r="F127" i="3"/>
  <c r="F120" i="3"/>
  <c r="F128" i="3"/>
  <c r="D123" i="3"/>
  <c r="H132" i="3"/>
  <c r="C104" i="3"/>
  <c r="G103" i="3"/>
  <c r="G99" i="3"/>
  <c r="E105" i="3"/>
  <c r="D91" i="3"/>
  <c r="G95" i="3"/>
  <c r="E102" i="3"/>
  <c r="F90" i="3"/>
  <c r="G100" i="3"/>
  <c r="C98" i="3"/>
  <c r="D94" i="3"/>
  <c r="E100" i="3"/>
  <c r="D97" i="3"/>
  <c r="G90" i="3"/>
  <c r="C94" i="3"/>
  <c r="H102" i="3"/>
  <c r="G98" i="3"/>
  <c r="G97" i="3"/>
  <c r="G104" i="3"/>
  <c r="G91" i="3"/>
  <c r="D103" i="3"/>
  <c r="D101" i="3"/>
  <c r="G72" i="3"/>
  <c r="C73" i="3"/>
  <c r="E92" i="3"/>
  <c r="G105" i="3"/>
  <c r="F105" i="3"/>
  <c r="G96" i="3"/>
  <c r="C93" i="3"/>
  <c r="C97" i="3"/>
  <c r="C102" i="3"/>
  <c r="F103" i="3"/>
  <c r="F99" i="3"/>
  <c r="C103" i="3"/>
  <c r="E71" i="3"/>
  <c r="H97" i="3"/>
  <c r="E101" i="3"/>
  <c r="E94" i="3"/>
  <c r="C100" i="3"/>
  <c r="D102" i="3"/>
  <c r="G93" i="3"/>
  <c r="F104" i="3"/>
  <c r="H100" i="3"/>
  <c r="F91" i="3"/>
  <c r="E93" i="3"/>
  <c r="F94" i="3"/>
  <c r="H95" i="3"/>
  <c r="H92" i="3"/>
  <c r="E99" i="3"/>
  <c r="F95" i="3"/>
  <c r="F102" i="3"/>
  <c r="H99" i="3"/>
  <c r="F92" i="3"/>
  <c r="G102" i="3"/>
  <c r="E96" i="3"/>
  <c r="H96" i="3"/>
  <c r="C92" i="3"/>
  <c r="H93" i="3"/>
  <c r="C101" i="3"/>
  <c r="D98" i="3"/>
  <c r="H104" i="3"/>
  <c r="D99" i="3"/>
  <c r="H98" i="3"/>
  <c r="D104" i="3"/>
  <c r="C95" i="3"/>
  <c r="D93" i="3"/>
  <c r="E77" i="3"/>
  <c r="E104" i="3"/>
  <c r="D105" i="3"/>
  <c r="H90" i="3"/>
  <c r="D95" i="3"/>
  <c r="E91" i="3"/>
  <c r="E95" i="3"/>
  <c r="C90" i="3"/>
  <c r="D100" i="3"/>
  <c r="D90" i="3"/>
  <c r="G94" i="3"/>
  <c r="F97" i="3"/>
  <c r="H91" i="3"/>
  <c r="D92" i="3"/>
  <c r="E103" i="3"/>
  <c r="H101" i="3"/>
  <c r="C105" i="3"/>
  <c r="E98" i="3"/>
  <c r="C96" i="3"/>
  <c r="F96" i="3"/>
  <c r="C91" i="3"/>
  <c r="H103" i="3"/>
  <c r="F98" i="3"/>
  <c r="E97" i="3"/>
  <c r="G92" i="3"/>
  <c r="C99" i="3"/>
  <c r="H94" i="3"/>
  <c r="F100" i="3"/>
  <c r="F93" i="3"/>
  <c r="F101" i="3"/>
  <c r="D96" i="3"/>
  <c r="H105" i="3"/>
  <c r="F75" i="3"/>
  <c r="D66" i="3"/>
  <c r="G67" i="3"/>
  <c r="G78" i="3"/>
  <c r="H72" i="3"/>
  <c r="F65" i="3"/>
  <c r="E78" i="3"/>
  <c r="G63" i="3"/>
  <c r="E76" i="3"/>
  <c r="G74" i="3"/>
  <c r="F73" i="3"/>
  <c r="E67" i="3"/>
  <c r="E65" i="3"/>
  <c r="G76" i="3"/>
  <c r="G73" i="3"/>
  <c r="C72" i="3"/>
  <c r="G68" i="3"/>
  <c r="C71" i="3"/>
  <c r="D67" i="3"/>
  <c r="C66" i="3"/>
  <c r="F72" i="3"/>
  <c r="C63" i="3"/>
  <c r="G70" i="3"/>
  <c r="F68" i="3"/>
  <c r="C68" i="3"/>
  <c r="C76" i="3"/>
  <c r="F69" i="3"/>
  <c r="E63" i="3"/>
  <c r="C64" i="3"/>
  <c r="G77" i="3"/>
  <c r="G64" i="3"/>
  <c r="D76" i="3"/>
  <c r="D74" i="3"/>
  <c r="D63" i="3"/>
  <c r="E64" i="3"/>
  <c r="C77" i="3"/>
  <c r="H70" i="3"/>
  <c r="F78" i="3"/>
  <c r="G69" i="3"/>
  <c r="E73" i="3"/>
  <c r="E75" i="3"/>
  <c r="E68" i="3"/>
  <c r="C70" i="3"/>
  <c r="D70" i="3"/>
  <c r="C75" i="3"/>
  <c r="F63" i="3"/>
  <c r="E74" i="3"/>
  <c r="D64" i="3"/>
  <c r="F76" i="3"/>
  <c r="C69" i="3"/>
  <c r="C67" i="3"/>
  <c r="H75" i="3"/>
  <c r="G71" i="3"/>
  <c r="G66" i="3"/>
  <c r="H64" i="3"/>
  <c r="G65" i="3"/>
  <c r="G75" i="3"/>
  <c r="E69" i="3"/>
  <c r="F64" i="3"/>
  <c r="F67" i="3"/>
  <c r="H65" i="3"/>
  <c r="H66" i="3"/>
  <c r="C74" i="3"/>
  <c r="H77" i="3"/>
  <c r="D72" i="3"/>
  <c r="H71" i="3"/>
  <c r="D77" i="3"/>
  <c r="E72" i="3"/>
  <c r="H76" i="3"/>
  <c r="F71" i="3"/>
  <c r="E70" i="3"/>
  <c r="F77" i="3"/>
  <c r="H73" i="3"/>
  <c r="E66" i="3"/>
  <c r="H68" i="3"/>
  <c r="H69" i="3"/>
  <c r="C65" i="3"/>
  <c r="D71" i="3"/>
  <c r="H63" i="3"/>
  <c r="D68" i="3"/>
  <c r="D75" i="3"/>
  <c r="F70" i="3"/>
  <c r="D78" i="3"/>
  <c r="D65" i="3"/>
  <c r="H74" i="3"/>
  <c r="C78" i="3"/>
  <c r="D73" i="3"/>
  <c r="H67" i="3"/>
  <c r="F66" i="3"/>
  <c r="F74" i="3"/>
  <c r="D69" i="3"/>
  <c r="H78" i="3"/>
  <c r="G43" i="3"/>
  <c r="E38" i="3"/>
  <c r="E51" i="3"/>
  <c r="D37" i="3"/>
  <c r="G41" i="3"/>
  <c r="G49" i="3"/>
  <c r="G45" i="3"/>
  <c r="E48" i="3"/>
  <c r="F36" i="3"/>
  <c r="H39" i="3"/>
  <c r="E46" i="3"/>
  <c r="H48" i="3"/>
  <c r="G50" i="3"/>
  <c r="D47" i="3"/>
  <c r="G51" i="3"/>
  <c r="F51" i="3"/>
  <c r="C44" i="3"/>
  <c r="D40" i="3"/>
  <c r="C43" i="3"/>
  <c r="C48" i="3"/>
  <c r="F49" i="3"/>
  <c r="C40" i="3"/>
  <c r="G44" i="3"/>
  <c r="G20" i="3"/>
  <c r="G47" i="3"/>
  <c r="E36" i="3"/>
  <c r="G37" i="3"/>
  <c r="D49" i="3"/>
  <c r="G18" i="3"/>
  <c r="E44" i="3"/>
  <c r="C50" i="3"/>
  <c r="G42" i="3"/>
  <c r="C39" i="3"/>
  <c r="D43" i="3"/>
  <c r="G36" i="3"/>
  <c r="F45" i="3"/>
  <c r="C49" i="3"/>
  <c r="E40" i="3"/>
  <c r="C46" i="3"/>
  <c r="E39" i="3"/>
  <c r="E37" i="3"/>
  <c r="F42" i="3"/>
  <c r="C37" i="3"/>
  <c r="D46" i="3"/>
  <c r="D36" i="3"/>
  <c r="H49" i="3"/>
  <c r="G40" i="3"/>
  <c r="H45" i="3"/>
  <c r="F44" i="3"/>
  <c r="D39" i="3"/>
  <c r="E45" i="3"/>
  <c r="E50" i="3"/>
  <c r="F43" i="3"/>
  <c r="G39" i="3"/>
  <c r="F38" i="3"/>
  <c r="H37" i="3"/>
  <c r="E43" i="3"/>
  <c r="D51" i="3"/>
  <c r="H43" i="3"/>
  <c r="E42" i="3"/>
  <c r="H46" i="3"/>
  <c r="F37" i="3"/>
  <c r="F40" i="3"/>
  <c r="H41" i="3"/>
  <c r="H38" i="3"/>
  <c r="D44" i="3"/>
  <c r="H50" i="3"/>
  <c r="D45" i="3"/>
  <c r="H44" i="3"/>
  <c r="D50" i="3"/>
  <c r="C42" i="3"/>
  <c r="D48" i="3"/>
  <c r="F48" i="3"/>
  <c r="C47" i="3"/>
  <c r="H36" i="3"/>
  <c r="D41" i="3"/>
  <c r="E47" i="3"/>
  <c r="G38" i="3"/>
  <c r="C41" i="3"/>
  <c r="G48" i="3"/>
  <c r="C38" i="3"/>
  <c r="E49" i="3"/>
  <c r="H47" i="3"/>
  <c r="C51" i="3"/>
  <c r="E41" i="3"/>
  <c r="C36" i="3"/>
  <c r="F41" i="3"/>
  <c r="F50" i="3"/>
  <c r="H42" i="3"/>
  <c r="G46" i="3"/>
  <c r="D38" i="3"/>
  <c r="C45" i="3"/>
  <c r="H40" i="3"/>
  <c r="F46" i="3"/>
  <c r="F39" i="3"/>
  <c r="F47" i="3"/>
  <c r="D42" i="3"/>
  <c r="H51" i="3"/>
  <c r="G9" i="3"/>
  <c r="E13" i="3"/>
  <c r="G23" i="3"/>
  <c r="E22" i="3"/>
  <c r="E24" i="3"/>
  <c r="E11" i="3"/>
  <c r="G14" i="3"/>
  <c r="C19" i="3"/>
  <c r="E21" i="3"/>
  <c r="F13" i="3"/>
  <c r="H11" i="3"/>
  <c r="G22" i="3"/>
  <c r="C12" i="3"/>
  <c r="G21" i="3"/>
  <c r="H14" i="3"/>
  <c r="E20" i="30"/>
  <c r="F22" i="3"/>
  <c r="G16" i="3"/>
  <c r="C10" i="3"/>
  <c r="G10" i="3"/>
  <c r="D19" i="3"/>
  <c r="D22" i="3"/>
  <c r="D20" i="3"/>
  <c r="D9" i="3"/>
  <c r="E10" i="3"/>
  <c r="C22" i="3"/>
  <c r="D21" i="3"/>
  <c r="F21" i="3"/>
  <c r="G13" i="3"/>
  <c r="G24" i="3"/>
  <c r="H18" i="3"/>
  <c r="D13" i="3"/>
  <c r="D12" i="3"/>
  <c r="C16" i="3"/>
  <c r="F18" i="3"/>
  <c r="F15" i="3"/>
  <c r="E9" i="3"/>
  <c r="E23" i="3"/>
  <c r="F11" i="3"/>
  <c r="E17" i="3"/>
  <c r="C23" i="3"/>
  <c r="H10" i="3"/>
  <c r="D24" i="3"/>
  <c r="H16" i="3"/>
  <c r="E19" i="3"/>
  <c r="C21" i="3"/>
  <c r="G11" i="3"/>
  <c r="C15" i="3"/>
  <c r="C13" i="3"/>
  <c r="H21" i="3"/>
  <c r="E14" i="3"/>
  <c r="D16" i="3"/>
  <c r="F9" i="3"/>
  <c r="C9" i="3"/>
  <c r="F14" i="3"/>
  <c r="C14" i="3"/>
  <c r="G17" i="3"/>
  <c r="F23" i="3"/>
  <c r="C11" i="3"/>
  <c r="H12" i="3"/>
  <c r="C20" i="3"/>
  <c r="D17" i="3"/>
  <c r="H23" i="3"/>
  <c r="D18" i="3"/>
  <c r="H17" i="3"/>
  <c r="G12" i="3"/>
  <c r="H19" i="3"/>
  <c r="E12" i="3"/>
  <c r="H9" i="3"/>
  <c r="D14" i="3"/>
  <c r="D23" i="3"/>
  <c r="E18" i="3"/>
  <c r="E16" i="3"/>
  <c r="H15" i="3"/>
  <c r="D11" i="3"/>
  <c r="H20" i="3"/>
  <c r="C24" i="3"/>
  <c r="H22" i="3"/>
  <c r="G19" i="3"/>
  <c r="H13" i="3"/>
  <c r="F20" i="3"/>
  <c r="D15" i="3"/>
  <c r="F17" i="3"/>
  <c r="F16" i="3"/>
  <c r="E15" i="3"/>
  <c r="F10" i="3"/>
  <c r="C18" i="3"/>
  <c r="F19" i="3"/>
  <c r="F12" i="3"/>
  <c r="D10" i="3"/>
  <c r="F24" i="3"/>
  <c r="C17" i="3"/>
  <c r="G15" i="3"/>
  <c r="H24" i="3"/>
  <c r="E20" i="3"/>
  <c r="E38" i="30"/>
  <c r="C120" i="30"/>
  <c r="E118" i="30"/>
  <c r="G20" i="30"/>
  <c r="E10" i="30"/>
  <c r="C104" i="30"/>
  <c r="C76" i="30"/>
  <c r="G99" i="30"/>
  <c r="C100" i="30"/>
  <c r="E92" i="30"/>
  <c r="E71" i="30"/>
  <c r="D40" i="30"/>
  <c r="C12" i="30"/>
  <c r="G122" i="30"/>
  <c r="C93" i="30"/>
  <c r="C66" i="30"/>
  <c r="G24" i="30"/>
  <c r="C77" i="30"/>
  <c r="E74" i="30"/>
  <c r="G10" i="30"/>
  <c r="C50" i="30"/>
  <c r="E11" i="30"/>
  <c r="E24" i="30"/>
  <c r="E98" i="30"/>
  <c r="C39" i="30"/>
  <c r="E99" i="30"/>
  <c r="E91" i="30"/>
  <c r="C46" i="30"/>
  <c r="C131" i="30"/>
  <c r="C19" i="30"/>
  <c r="G130" i="30"/>
  <c r="C22" i="30"/>
  <c r="G41" i="30"/>
  <c r="E126" i="30"/>
  <c r="G17" i="30"/>
  <c r="D67" i="30"/>
  <c r="G18" i="30"/>
  <c r="G132" i="30"/>
  <c r="D121" i="30"/>
  <c r="G126" i="30"/>
  <c r="G49" i="30"/>
  <c r="G128" i="30"/>
  <c r="G124" i="30"/>
  <c r="E119" i="30"/>
  <c r="E47" i="30"/>
  <c r="G105" i="30"/>
  <c r="F123" i="30"/>
  <c r="F96" i="30"/>
  <c r="F42" i="30"/>
  <c r="F69" i="30"/>
  <c r="F15" i="30"/>
  <c r="C37" i="30"/>
  <c r="C64" i="30"/>
  <c r="C10" i="30"/>
  <c r="C91" i="30"/>
  <c r="C118" i="30"/>
  <c r="D102" i="30"/>
  <c r="D48" i="30"/>
  <c r="D129" i="30"/>
  <c r="D75" i="30"/>
  <c r="D21" i="30"/>
  <c r="G50" i="30"/>
  <c r="G23" i="30"/>
  <c r="G104" i="30"/>
  <c r="G77" i="30"/>
  <c r="G131" i="30"/>
  <c r="D19" i="30"/>
  <c r="D100" i="30"/>
  <c r="D73" i="30"/>
  <c r="D127" i="30"/>
  <c r="D46" i="30"/>
  <c r="G78" i="30"/>
  <c r="H76" i="30"/>
  <c r="H22" i="30"/>
  <c r="H130" i="30"/>
  <c r="H49" i="30"/>
  <c r="H103" i="30"/>
  <c r="H45" i="30"/>
  <c r="H99" i="30"/>
  <c r="H72" i="30"/>
  <c r="H126" i="30"/>
  <c r="H18" i="30"/>
  <c r="D20" i="30"/>
  <c r="D47" i="30"/>
  <c r="D74" i="30"/>
  <c r="D101" i="30"/>
  <c r="D128" i="30"/>
  <c r="D63" i="30"/>
  <c r="D117" i="30"/>
  <c r="D90" i="30"/>
  <c r="D9" i="30"/>
  <c r="D36" i="30"/>
  <c r="G103" i="30"/>
  <c r="C49" i="30"/>
  <c r="G90" i="30"/>
  <c r="G76" i="30"/>
  <c r="G63" i="30"/>
  <c r="D44" i="30"/>
  <c r="D71" i="30"/>
  <c r="D98" i="30"/>
  <c r="D125" i="30"/>
  <c r="D17" i="30"/>
  <c r="D72" i="30"/>
  <c r="D45" i="30"/>
  <c r="D126" i="30"/>
  <c r="D99" i="30"/>
  <c r="D18" i="30"/>
  <c r="H44" i="30"/>
  <c r="H71" i="30"/>
  <c r="H125" i="30"/>
  <c r="H98" i="30"/>
  <c r="H17" i="30"/>
  <c r="G68" i="30"/>
  <c r="G19" i="30"/>
  <c r="G73" i="30"/>
  <c r="G100" i="30"/>
  <c r="G127" i="30"/>
  <c r="G46" i="30"/>
  <c r="D92" i="30"/>
  <c r="D119" i="30"/>
  <c r="D65" i="30"/>
  <c r="D11" i="30"/>
  <c r="D38" i="30"/>
  <c r="E130" i="30"/>
  <c r="E76" i="30"/>
  <c r="E49" i="30"/>
  <c r="E103" i="30"/>
  <c r="E22" i="30"/>
  <c r="H20" i="30"/>
  <c r="H101" i="30"/>
  <c r="H74" i="30"/>
  <c r="H47" i="30"/>
  <c r="H128" i="30"/>
  <c r="C132" i="30"/>
  <c r="C78" i="30"/>
  <c r="C105" i="30"/>
  <c r="C51" i="30"/>
  <c r="C24" i="30"/>
  <c r="G22" i="30"/>
  <c r="E17" i="30"/>
  <c r="E101" i="30"/>
  <c r="E63" i="30"/>
  <c r="G95" i="30"/>
  <c r="D94" i="30"/>
  <c r="G71" i="30"/>
  <c r="E78" i="30"/>
  <c r="G47" i="30"/>
  <c r="G97" i="30"/>
  <c r="G16" i="30"/>
  <c r="G36" i="30"/>
  <c r="G45" i="30"/>
  <c r="F43" i="30"/>
  <c r="F124" i="30"/>
  <c r="F16" i="30"/>
  <c r="F70" i="30"/>
  <c r="F97" i="30"/>
  <c r="H64" i="30"/>
  <c r="H37" i="30"/>
  <c r="H10" i="30"/>
  <c r="H91" i="30"/>
  <c r="H118" i="30"/>
  <c r="G70" i="30"/>
  <c r="H124" i="30"/>
  <c r="H43" i="30"/>
  <c r="H16" i="30"/>
  <c r="H97" i="30"/>
  <c r="H70" i="30"/>
  <c r="G92" i="30"/>
  <c r="G14" i="30"/>
  <c r="H12" i="30"/>
  <c r="H120" i="30"/>
  <c r="H66" i="30"/>
  <c r="H39" i="30"/>
  <c r="H93" i="30"/>
  <c r="E12" i="30"/>
  <c r="E39" i="30"/>
  <c r="E120" i="30"/>
  <c r="E93" i="30"/>
  <c r="E66" i="30"/>
  <c r="H95" i="30"/>
  <c r="H41" i="30"/>
  <c r="H14" i="30"/>
  <c r="H68" i="30"/>
  <c r="H122" i="30"/>
  <c r="H65" i="30"/>
  <c r="H38" i="30"/>
  <c r="H11" i="30"/>
  <c r="H92" i="30"/>
  <c r="H119" i="30"/>
  <c r="G37" i="30"/>
  <c r="H24" i="30"/>
  <c r="H105" i="30"/>
  <c r="H132" i="30"/>
  <c r="H51" i="30"/>
  <c r="H78" i="30"/>
  <c r="H5" i="30"/>
  <c r="D34" i="30"/>
  <c r="H62" i="30"/>
  <c r="D7" i="30"/>
  <c r="H89" i="30"/>
  <c r="D62" i="30"/>
  <c r="D61" i="30"/>
  <c r="H8" i="30"/>
  <c r="H35" i="30"/>
  <c r="D89" i="30"/>
  <c r="D8" i="30"/>
  <c r="D35" i="30"/>
  <c r="H90" i="30"/>
  <c r="H9" i="30"/>
  <c r="H36" i="30"/>
  <c r="H117" i="30"/>
  <c r="H63" i="30"/>
  <c r="D68" i="30"/>
  <c r="D14" i="30"/>
  <c r="D122" i="30"/>
  <c r="D95" i="30"/>
  <c r="D41" i="30"/>
  <c r="H50" i="30"/>
  <c r="H23" i="30"/>
  <c r="H131" i="30"/>
  <c r="H77" i="30"/>
  <c r="H104" i="30"/>
  <c r="G64" i="30"/>
  <c r="E90" i="30"/>
  <c r="D13" i="30"/>
  <c r="E132" i="30"/>
  <c r="C45" i="30"/>
  <c r="C18" i="30"/>
  <c r="C126" i="30"/>
  <c r="C99" i="30"/>
  <c r="C72" i="30"/>
  <c r="H94" i="30"/>
  <c r="H121" i="30"/>
  <c r="H13" i="30"/>
  <c r="H67" i="30"/>
  <c r="H40" i="30"/>
  <c r="F100" i="30"/>
  <c r="F19" i="30"/>
  <c r="F46" i="30"/>
  <c r="F127" i="30"/>
  <c r="F73" i="30"/>
  <c r="F12" i="30"/>
  <c r="F66" i="30"/>
  <c r="F93" i="30"/>
  <c r="F39" i="30"/>
  <c r="F120" i="30"/>
  <c r="C73" i="30"/>
  <c r="E44" i="30"/>
  <c r="G91" i="30"/>
  <c r="E36" i="30"/>
  <c r="D131" i="30"/>
  <c r="D104" i="30"/>
  <c r="D50" i="30"/>
  <c r="D23" i="30"/>
  <c r="D77" i="30"/>
  <c r="G125" i="30"/>
  <c r="E105" i="30"/>
  <c r="C117" i="30"/>
  <c r="C63" i="30"/>
  <c r="C36" i="30"/>
  <c r="C9" i="30"/>
  <c r="C90" i="30"/>
  <c r="G43" i="30"/>
  <c r="G74" i="30"/>
  <c r="F102" i="30"/>
  <c r="F21" i="30"/>
  <c r="F129" i="30"/>
  <c r="F48" i="30"/>
  <c r="F75" i="30"/>
  <c r="G67" i="30"/>
  <c r="G94" i="30"/>
  <c r="G121" i="30"/>
  <c r="G40" i="30"/>
  <c r="G13" i="30"/>
  <c r="E72" i="30"/>
  <c r="G51" i="30"/>
  <c r="G65" i="30"/>
  <c r="E77" i="30"/>
  <c r="E131" i="30"/>
  <c r="E50" i="30"/>
  <c r="E23" i="30"/>
  <c r="E104" i="30"/>
  <c r="G93" i="30"/>
  <c r="G39" i="30"/>
  <c r="G12" i="30"/>
  <c r="G66" i="30"/>
  <c r="G120" i="30"/>
  <c r="F65" i="30"/>
  <c r="F38" i="30"/>
  <c r="F11" i="30"/>
  <c r="F92" i="30"/>
  <c r="F119" i="30"/>
  <c r="F98" i="30"/>
  <c r="F17" i="30"/>
  <c r="F44" i="30"/>
  <c r="F125" i="30"/>
  <c r="F71" i="30"/>
  <c r="F104" i="30"/>
  <c r="F50" i="30"/>
  <c r="F23" i="30"/>
  <c r="F77" i="30"/>
  <c r="F131" i="30"/>
  <c r="G129" i="30"/>
  <c r="G48" i="30"/>
  <c r="G102" i="30"/>
  <c r="G75" i="30"/>
  <c r="G21" i="30"/>
  <c r="E13" i="30"/>
  <c r="E40" i="30"/>
  <c r="E67" i="30"/>
  <c r="E121" i="30"/>
  <c r="E94" i="30"/>
  <c r="E69" i="30"/>
  <c r="E123" i="30"/>
  <c r="E96" i="30"/>
  <c r="E42" i="30"/>
  <c r="E15" i="30"/>
  <c r="E16" i="30"/>
  <c r="E124" i="30"/>
  <c r="E43" i="30"/>
  <c r="E70" i="30"/>
  <c r="E97" i="30"/>
  <c r="D105" i="30"/>
  <c r="D132" i="30"/>
  <c r="D51" i="30"/>
  <c r="D24" i="30"/>
  <c r="D78" i="30"/>
  <c r="H15" i="30"/>
  <c r="H96" i="30"/>
  <c r="H123" i="30"/>
  <c r="H42" i="30"/>
  <c r="H69" i="30"/>
  <c r="C92" i="30"/>
  <c r="C38" i="30"/>
  <c r="C65" i="30"/>
  <c r="C119" i="30"/>
  <c r="C11" i="30"/>
  <c r="C101" i="30"/>
  <c r="C74" i="30"/>
  <c r="C20" i="30"/>
  <c r="C128" i="30"/>
  <c r="C47" i="30"/>
  <c r="F121" i="30"/>
  <c r="F40" i="30"/>
  <c r="F67" i="30"/>
  <c r="F13" i="30"/>
  <c r="F94" i="30"/>
  <c r="G11" i="30"/>
  <c r="D93" i="30"/>
  <c r="D120" i="30"/>
  <c r="D66" i="30"/>
  <c r="D39" i="30"/>
  <c r="D12" i="30"/>
  <c r="D64" i="30"/>
  <c r="D37" i="30"/>
  <c r="D10" i="30"/>
  <c r="D91" i="30"/>
  <c r="D118" i="30"/>
  <c r="F51" i="30"/>
  <c r="F24" i="30"/>
  <c r="F132" i="30"/>
  <c r="F105" i="30"/>
  <c r="F78" i="30"/>
  <c r="C125" i="30"/>
  <c r="C44" i="30"/>
  <c r="C71" i="30"/>
  <c r="C17" i="30"/>
  <c r="C98" i="30"/>
  <c r="F20" i="30"/>
  <c r="F101" i="30"/>
  <c r="F128" i="30"/>
  <c r="F47" i="30"/>
  <c r="F74" i="30"/>
  <c r="D42" i="30"/>
  <c r="D15" i="30"/>
  <c r="D69" i="30"/>
  <c r="D96" i="30"/>
  <c r="D123" i="30"/>
  <c r="C127" i="30"/>
  <c r="E125" i="30"/>
  <c r="G118" i="30"/>
  <c r="C23" i="30"/>
  <c r="E9" i="30"/>
  <c r="G101" i="30"/>
  <c r="G98" i="30"/>
  <c r="E51" i="30"/>
  <c r="F130" i="30"/>
  <c r="F49" i="30"/>
  <c r="F103" i="30"/>
  <c r="F76" i="30"/>
  <c r="F22" i="30"/>
  <c r="C42" i="30"/>
  <c r="C96" i="30"/>
  <c r="C69" i="30"/>
  <c r="C15" i="30"/>
  <c r="C123" i="30"/>
  <c r="C121" i="30"/>
  <c r="C13" i="30"/>
  <c r="C67" i="30"/>
  <c r="C94" i="30"/>
  <c r="C40" i="30"/>
  <c r="C21" i="30"/>
  <c r="C129" i="30"/>
  <c r="C102" i="30"/>
  <c r="C75" i="30"/>
  <c r="C48" i="30"/>
  <c r="F63" i="30"/>
  <c r="F90" i="30"/>
  <c r="F36" i="30"/>
  <c r="F117" i="30"/>
  <c r="F9" i="30"/>
  <c r="F122" i="30"/>
  <c r="F41" i="30"/>
  <c r="F95" i="30"/>
  <c r="F68" i="30"/>
  <c r="F14" i="30"/>
  <c r="G9" i="30"/>
  <c r="C6" i="30"/>
  <c r="C33" i="30"/>
  <c r="G35" i="30"/>
  <c r="G61" i="30"/>
  <c r="G7" i="30"/>
  <c r="G34" i="30"/>
  <c r="G33" i="30"/>
  <c r="G89" i="30"/>
  <c r="G6" i="30"/>
  <c r="G8" i="30"/>
  <c r="G62" i="30"/>
  <c r="C14" i="30"/>
  <c r="C122" i="30"/>
  <c r="C41" i="30"/>
  <c r="C68" i="30"/>
  <c r="C95" i="30"/>
  <c r="H75" i="30"/>
  <c r="H102" i="30"/>
  <c r="H48" i="30"/>
  <c r="H129" i="30"/>
  <c r="H21" i="30"/>
  <c r="F45" i="30"/>
  <c r="F99" i="30"/>
  <c r="F72" i="30"/>
  <c r="F126" i="30"/>
  <c r="F18" i="30"/>
  <c r="D130" i="30"/>
  <c r="D103" i="30"/>
  <c r="D49" i="30"/>
  <c r="D76" i="30"/>
  <c r="D22" i="30"/>
  <c r="E45" i="30"/>
  <c r="C130" i="30"/>
  <c r="C103" i="30"/>
  <c r="G117" i="30"/>
  <c r="G72" i="30"/>
  <c r="H46" i="30"/>
  <c r="H100" i="30"/>
  <c r="H19" i="30"/>
  <c r="H73" i="30"/>
  <c r="H127" i="30"/>
  <c r="F37" i="30"/>
  <c r="F118" i="30"/>
  <c r="F91" i="30"/>
  <c r="F10" i="30"/>
  <c r="F64" i="30"/>
  <c r="G38" i="30"/>
  <c r="G119" i="30"/>
  <c r="E100" i="30"/>
  <c r="E46" i="30"/>
  <c r="E19" i="30"/>
  <c r="E73" i="30"/>
  <c r="E127" i="30"/>
  <c r="E48" i="30"/>
  <c r="E75" i="30"/>
  <c r="E129" i="30"/>
  <c r="E102" i="30"/>
  <c r="E21" i="30"/>
  <c r="E14" i="30"/>
  <c r="E41" i="30"/>
  <c r="E95" i="30"/>
  <c r="E122" i="30"/>
  <c r="E68" i="30"/>
  <c r="C124" i="30"/>
  <c r="C70" i="30"/>
  <c r="C16" i="30"/>
  <c r="C43" i="30"/>
  <c r="C97" i="30"/>
  <c r="D43" i="30"/>
  <c r="D70" i="30"/>
  <c r="D16" i="30"/>
  <c r="D97" i="30"/>
  <c r="D124" i="30"/>
  <c r="G42" i="30"/>
  <c r="G69" i="30"/>
  <c r="G15" i="30"/>
  <c r="G96" i="30"/>
  <c r="G123" i="30"/>
  <c r="E117" i="30"/>
  <c r="E64" i="30"/>
  <c r="E65" i="30"/>
  <c r="M92" i="3"/>
  <c r="M65" i="3"/>
  <c r="M11" i="3"/>
  <c r="M12" i="3"/>
  <c r="M38" i="3"/>
  <c r="M119" i="3"/>
  <c r="L35" i="3"/>
  <c r="L89" i="3"/>
  <c r="L62" i="3"/>
  <c r="L8" i="3"/>
  <c r="K7" i="3"/>
  <c r="K34" i="3"/>
  <c r="K61" i="3"/>
  <c r="M93" i="3" l="1"/>
  <c r="M66" i="3"/>
  <c r="M39" i="3"/>
  <c r="M120" i="3"/>
  <c r="M40" i="3"/>
  <c r="L36" i="3"/>
  <c r="L63" i="3"/>
  <c r="L9" i="3"/>
  <c r="L117" i="3"/>
  <c r="L90" i="3"/>
  <c r="N13" i="3"/>
  <c r="K89" i="3"/>
  <c r="K8" i="3"/>
  <c r="K35" i="3"/>
  <c r="K62" i="3"/>
  <c r="M94" i="3" l="1"/>
  <c r="M13" i="3"/>
  <c r="M121" i="3"/>
  <c r="M67" i="3"/>
  <c r="L91" i="3"/>
  <c r="L64" i="3"/>
  <c r="L10" i="3"/>
  <c r="L118" i="3"/>
  <c r="L37" i="3"/>
  <c r="N14" i="3"/>
  <c r="K36" i="3"/>
  <c r="K9" i="3"/>
  <c r="K90" i="3"/>
  <c r="K117" i="3"/>
  <c r="K63" i="3"/>
  <c r="M42" i="3" l="1"/>
  <c r="M14" i="3"/>
  <c r="M95" i="3"/>
  <c r="M68" i="3"/>
  <c r="M41" i="3"/>
  <c r="M122" i="3"/>
  <c r="M123" i="3"/>
  <c r="M69" i="3"/>
  <c r="M96" i="3"/>
  <c r="M15" i="3"/>
  <c r="N15" i="3"/>
  <c r="K10" i="3"/>
  <c r="K37" i="3"/>
  <c r="K64" i="3"/>
  <c r="K118" i="3"/>
  <c r="K91" i="3"/>
  <c r="L119" i="3"/>
  <c r="L38" i="3"/>
  <c r="L92" i="3"/>
  <c r="L11" i="3"/>
  <c r="L65" i="3"/>
  <c r="M124" i="3" l="1"/>
  <c r="M70" i="3"/>
  <c r="M16" i="3"/>
  <c r="M97" i="3"/>
  <c r="M43" i="3"/>
  <c r="M17" i="3"/>
  <c r="M71" i="3"/>
  <c r="M44" i="3"/>
  <c r="M98" i="3"/>
  <c r="M125" i="3"/>
  <c r="K92" i="3"/>
  <c r="K38" i="3"/>
  <c r="K65" i="3"/>
  <c r="K119" i="3"/>
  <c r="N16" i="3"/>
  <c r="L66" i="3"/>
  <c r="L12" i="3"/>
  <c r="L39" i="3"/>
  <c r="L93" i="3"/>
  <c r="L120" i="3"/>
  <c r="K66" i="3" l="1"/>
  <c r="K39" i="3"/>
  <c r="K93" i="3"/>
  <c r="K120" i="3"/>
  <c r="L67" i="3"/>
  <c r="L121" i="3"/>
  <c r="L94" i="3"/>
  <c r="L13" i="3"/>
  <c r="L40" i="3"/>
  <c r="N17" i="3"/>
  <c r="M18" i="3"/>
  <c r="M126" i="3"/>
  <c r="M99" i="3"/>
  <c r="M45" i="3"/>
  <c r="M72" i="3"/>
  <c r="N18" i="3" l="1"/>
  <c r="M100" i="3"/>
  <c r="M73" i="3"/>
  <c r="M46" i="3"/>
  <c r="M19" i="3"/>
  <c r="M127" i="3"/>
  <c r="K40" i="3"/>
  <c r="K121" i="3"/>
  <c r="K13" i="3"/>
  <c r="K67" i="3"/>
  <c r="K94" i="3"/>
  <c r="L41" i="3"/>
  <c r="L14" i="3"/>
  <c r="L68" i="3"/>
  <c r="L95" i="3"/>
  <c r="L122" i="3"/>
  <c r="M74" i="3" l="1"/>
  <c r="M101" i="3"/>
  <c r="M128" i="3"/>
  <c r="M47" i="3"/>
  <c r="M20" i="3"/>
  <c r="L69" i="3"/>
  <c r="L96" i="3"/>
  <c r="L42" i="3"/>
  <c r="L123" i="3"/>
  <c r="L15" i="3"/>
  <c r="K122" i="3"/>
  <c r="K95" i="3"/>
  <c r="K14" i="3"/>
  <c r="K68" i="3"/>
  <c r="K41" i="3"/>
  <c r="N19" i="3"/>
  <c r="N20" i="3" l="1"/>
  <c r="M48" i="3"/>
  <c r="M21" i="3"/>
  <c r="M129" i="3"/>
  <c r="M75" i="3"/>
  <c r="M102" i="3"/>
  <c r="K42" i="3"/>
  <c r="K15" i="3"/>
  <c r="K69" i="3"/>
  <c r="K96" i="3"/>
  <c r="K123" i="3"/>
  <c r="L70" i="3"/>
  <c r="L97" i="3"/>
  <c r="L16" i="3"/>
  <c r="L124" i="3"/>
  <c r="L43" i="3"/>
  <c r="N21" i="3" l="1"/>
  <c r="K43" i="3"/>
  <c r="K16" i="3"/>
  <c r="K124" i="3"/>
  <c r="K70" i="3"/>
  <c r="K97" i="3"/>
  <c r="L17" i="3"/>
  <c r="L44" i="3"/>
  <c r="L71" i="3"/>
  <c r="L98" i="3"/>
  <c r="L125" i="3"/>
  <c r="M76" i="3"/>
  <c r="M22" i="3"/>
  <c r="M49" i="3"/>
  <c r="M103" i="3"/>
  <c r="M130" i="3"/>
  <c r="K125" i="3" l="1"/>
  <c r="K44" i="3"/>
  <c r="K17" i="3"/>
  <c r="K98" i="3"/>
  <c r="K71" i="3"/>
  <c r="M104" i="3"/>
  <c r="M77" i="3"/>
  <c r="M50" i="3"/>
  <c r="M23" i="3"/>
  <c r="M131" i="3"/>
  <c r="L45" i="3"/>
  <c r="L72" i="3"/>
  <c r="L99" i="3"/>
  <c r="L18" i="3"/>
  <c r="L126" i="3"/>
  <c r="N22" i="3"/>
  <c r="N24" i="3" l="1"/>
  <c r="N23" i="3"/>
  <c r="M24" i="3"/>
  <c r="M51" i="3"/>
  <c r="M105" i="3"/>
  <c r="M132" i="3"/>
  <c r="M78" i="3"/>
  <c r="L127" i="3"/>
  <c r="L73" i="3"/>
  <c r="L100" i="3"/>
  <c r="L46" i="3"/>
  <c r="L19" i="3"/>
  <c r="K18" i="3"/>
  <c r="K99" i="3"/>
  <c r="K126" i="3"/>
  <c r="K72" i="3"/>
  <c r="K45" i="3"/>
  <c r="L20" i="3" l="1"/>
  <c r="L74" i="3"/>
  <c r="L47" i="3"/>
  <c r="L101" i="3"/>
  <c r="L128" i="3"/>
  <c r="K19" i="3"/>
  <c r="K127" i="3"/>
  <c r="K46" i="3"/>
  <c r="K73" i="3"/>
  <c r="K100" i="3"/>
  <c r="L21" i="3" l="1"/>
  <c r="L75" i="3"/>
  <c r="L48" i="3"/>
  <c r="L129" i="3"/>
  <c r="L102" i="3"/>
  <c r="K101" i="3"/>
  <c r="K128" i="3"/>
  <c r="K74" i="3"/>
  <c r="K47" i="3"/>
  <c r="K20" i="3"/>
  <c r="L130" i="3" l="1"/>
  <c r="L22" i="3"/>
  <c r="L49" i="3"/>
  <c r="L103" i="3"/>
  <c r="L76" i="3"/>
  <c r="K102" i="3"/>
  <c r="K129" i="3"/>
  <c r="K48" i="3"/>
  <c r="K75" i="3"/>
  <c r="K21" i="3"/>
  <c r="K76" i="3" l="1"/>
  <c r="K49" i="3"/>
  <c r="K130" i="3"/>
  <c r="K103" i="3"/>
  <c r="K22" i="3"/>
  <c r="L131" i="3"/>
  <c r="L104" i="3"/>
  <c r="L50" i="3"/>
  <c r="L23" i="3"/>
  <c r="L77" i="3"/>
  <c r="L78" i="3" l="1"/>
  <c r="L24" i="3"/>
  <c r="L132" i="3"/>
  <c r="L105" i="3"/>
  <c r="L51" i="3"/>
  <c r="K50" i="3"/>
  <c r="K104" i="3"/>
  <c r="K23" i="3"/>
  <c r="K131" i="3"/>
  <c r="K77" i="3"/>
  <c r="K105" i="3" l="1"/>
  <c r="K78" i="3"/>
  <c r="K51" i="3"/>
  <c r="K24" i="3"/>
  <c r="K132" i="3"/>
</calcChain>
</file>

<file path=xl/sharedStrings.xml><?xml version="1.0" encoding="utf-8"?>
<sst xmlns="http://schemas.openxmlformats.org/spreadsheetml/2006/main" count="1565" uniqueCount="353">
  <si>
    <t>Pennsylvania Act 129 Phase V Avoided Energy and Capacity Cost Calculator</t>
  </si>
  <si>
    <t>Summary of Avoided Energy Cost Methodology</t>
  </si>
  <si>
    <t>This calculator is to be utilized with the Pennsylvania (PA) Act 129 Phase V Total Resource Cost (TRC) Test Order.  This calculator, developed by the Statewide Evaluator (SWE), executes the methodology outlined within the TRC Test Order to develop avoided energy and capacity costs for TRC calculations.  Please refer to the Phase V TRC Test Order for additional methodology narrative and source references.
For Phase V, the start year shall be set to Program Year 18 (6/1/2026/5/31/2027).
The user shall gather publicly available data sets as inputs.
This calculator includes the costs of compliance with the Pennsylvania Alternative Energy Portfolio Standards (AEPS) Act within the avoided energy cost calculations.</t>
  </si>
  <si>
    <t>Legend</t>
  </si>
  <si>
    <t>Inputs - where no value is available, utilize text "No Value" and not a zero or null value</t>
  </si>
  <si>
    <t>Calculation Cell - do not edit</t>
  </si>
  <si>
    <t>Results for Segment 1 - Years 1 through 4</t>
  </si>
  <si>
    <t>Results for Segment 2 - Years 5 through 10</t>
  </si>
  <si>
    <t>Results for Segment 3 - Years 11 through 20</t>
  </si>
  <si>
    <t>Data Needed</t>
  </si>
  <si>
    <t>TRC Test Order Section</t>
  </si>
  <si>
    <t>Input Tab</t>
  </si>
  <si>
    <t>EDC Name</t>
  </si>
  <si>
    <t>General Inputs</t>
  </si>
  <si>
    <t>Start Year</t>
  </si>
  <si>
    <t>Inflation Rate</t>
  </si>
  <si>
    <t>A.7 Page 8</t>
  </si>
  <si>
    <t>Plant Heat Rates</t>
  </si>
  <si>
    <t>B.2.b.v Page 18</t>
  </si>
  <si>
    <t>NYMEX Electric Futures at PJM Western Hub</t>
  </si>
  <si>
    <t>B.2.a Page 15</t>
  </si>
  <si>
    <t>Elec Futures</t>
  </si>
  <si>
    <t>PJM State of Market EDC Zone Locational Adjustment</t>
  </si>
  <si>
    <t>NYMEX Natural Gas Futures at Henry Hub</t>
  </si>
  <si>
    <t>B.2.b.i Page 16</t>
  </si>
  <si>
    <t>NG Futures</t>
  </si>
  <si>
    <t>EIA AEO Mid Atlantic Natural Gas Price Forecast in Real Dollars</t>
  </si>
  <si>
    <t>B.2.b.iii Page 16</t>
  </si>
  <si>
    <t>NYMEX Natural Gas Adjustments at Transco 6 (Non-NY) or Tetco M-3</t>
  </si>
  <si>
    <t>B.2.b.ii Page 16</t>
  </si>
  <si>
    <t>Adjustments</t>
  </si>
  <si>
    <t>Bureau of Labor Statistics PPI Data for Electric Utilities</t>
  </si>
  <si>
    <t>B.5 Page 18</t>
  </si>
  <si>
    <t>BLS Input</t>
  </si>
  <si>
    <t>PJM Base Residual Auction Results</t>
  </si>
  <si>
    <t>B.7 Page 21</t>
  </si>
  <si>
    <t>Generation Capacity</t>
  </si>
  <si>
    <t>Transmission and Distribution Capacity Costs</t>
  </si>
  <si>
    <t>B.8 Page 22</t>
  </si>
  <si>
    <t>T&amp;D Capacity</t>
  </si>
  <si>
    <t>AEPS Avoided Costs</t>
  </si>
  <si>
    <t>B.9 Page 24</t>
  </si>
  <si>
    <t>AEPS</t>
  </si>
  <si>
    <t>Demand Reduction Induced Price Effects (DRIPE)</t>
  </si>
  <si>
    <t>B.10 Page 25</t>
  </si>
  <si>
    <t>DRIPE</t>
  </si>
  <si>
    <t>Benefits Incurreced Through Reduced Arrearages Activity</t>
  </si>
  <si>
    <t>B.12 Page 29</t>
  </si>
  <si>
    <t>Arrearages</t>
  </si>
  <si>
    <t>Monetary Issues:</t>
  </si>
  <si>
    <t>All output dollars are nominal</t>
  </si>
  <si>
    <t>Calendarization Issues:</t>
  </si>
  <si>
    <t>The PA Act 129 calendar follows the PJM calendar, which starts in the month of June and ends in the month of May.  For a measure installed within a PA Act 129 program year, the avoided energy costs are based on the calendar year of the last months in the PJM calendar.  For instance, a measure installed in PA Act 129 Program Year 18 (6/1/2026-5/31/2027), the avoided energy costs will be calculated based on 12 months of data from the calendar year 2027.</t>
  </si>
  <si>
    <t>1.  Included latest PJM Capacity Auction Results (2026/2027) per 2026 TRC Order, at page 38 ""EDC inclusion of the upcoming auction results [2026/2027] within the PH V avoided cost of generation capacity calculation wil be an important mechanism to capture any market shifts."</t>
  </si>
  <si>
    <t>Note that on Generation Capacity Tab, annual labels on Row 14 required correction.</t>
  </si>
  <si>
    <t>3.  Updated BLS data for CPI and PPI to add 2024 data.</t>
  </si>
  <si>
    <t>2.  Updated data with ICE August 21 values for PJM Western Hub, HH NG, Transco, and Tetco</t>
  </si>
  <si>
    <t xml:space="preserve">4.  Per SWE August 29, 2025 Guidance Memo: </t>
  </si>
  <si>
    <t>* Correction Steps 1 and 2.  Fixed calendarization issue, per steps outlined in the SWE memo. Please note that EIA Natural Gas information had to be extended to 2046.</t>
  </si>
  <si>
    <t>* Additional issue 1:  Not Applicable</t>
  </si>
  <si>
    <t>* Additional Issue 2:  Used 2025 PJM SOM Report for 2024 values, Tables 11-5 and 11-7 (See also SWE follow up email to Ed Miller from Patrick Burns dated: Sept 17, 2025.)</t>
  </si>
  <si>
    <t>* Additional Issue 3:  Switched from using NYMEX to ICE data (see 2. above)</t>
  </si>
  <si>
    <t>5.  EIA AEO data was updated to 2025 report  for Mid Atlantic Region, Table 3, line 39, Natural Gas $/mmbtu in real dollars</t>
  </si>
  <si>
    <t>General</t>
  </si>
  <si>
    <t>Calendar</t>
  </si>
  <si>
    <t>Company Name</t>
  </si>
  <si>
    <t>West Penn</t>
  </si>
  <si>
    <t>Act 129 PY</t>
  </si>
  <si>
    <t>PY Start</t>
  </si>
  <si>
    <t>PY End</t>
  </si>
  <si>
    <t>Avoided Energy YR</t>
  </si>
  <si>
    <t>Start Year (Program)</t>
  </si>
  <si>
    <t>Discount Rate</t>
  </si>
  <si>
    <t>TRC Test Order A.4 page 10</t>
  </si>
  <si>
    <t>TRC Test Order B.4 page 18</t>
  </si>
  <si>
    <t>Plant Specifications</t>
  </si>
  <si>
    <t>Heat Rate (Btu/kWh)</t>
  </si>
  <si>
    <t>Low Efficiency Plant</t>
  </si>
  <si>
    <t>TRC Test Order B.2.b.v page 17</t>
  </si>
  <si>
    <t xml:space="preserve">High Efficiency Plant </t>
  </si>
  <si>
    <t>EDC Natural Gas Futures Source</t>
  </si>
  <si>
    <t>Electric Distribution Companies</t>
  </si>
  <si>
    <t>EDC Abbreviation</t>
  </si>
  <si>
    <t>NYMEX NG Futures Source</t>
  </si>
  <si>
    <t>Duquesne Light Co</t>
  </si>
  <si>
    <t>DLC</t>
  </si>
  <si>
    <t>Tetco M-3</t>
  </si>
  <si>
    <t>Metropolitan Edison Co</t>
  </si>
  <si>
    <t>Met-Ed</t>
  </si>
  <si>
    <t>Transco 6 (Non-NY)</t>
  </si>
  <si>
    <t>PECO Energy Co</t>
  </si>
  <si>
    <t>PECO</t>
  </si>
  <si>
    <t>Pennsylvania Electric Co</t>
  </si>
  <si>
    <t>Penelec</t>
  </si>
  <si>
    <t>Pennsylvania Power Co</t>
  </si>
  <si>
    <t>Penn Power</t>
  </si>
  <si>
    <t>PPL Utilities</t>
  </si>
  <si>
    <t>PPL</t>
  </si>
  <si>
    <t>West Penn Power Co</t>
  </si>
  <si>
    <t>Seasonal Definitions</t>
  </si>
  <si>
    <t>Jan</t>
  </si>
  <si>
    <t>Winter</t>
  </si>
  <si>
    <t>Feb</t>
  </si>
  <si>
    <t>Mar</t>
  </si>
  <si>
    <t>Shoulder</t>
  </si>
  <si>
    <t>Apr</t>
  </si>
  <si>
    <t>May</t>
  </si>
  <si>
    <t>Summer</t>
  </si>
  <si>
    <t>Jun</t>
  </si>
  <si>
    <t>Jul</t>
  </si>
  <si>
    <t>Aug</t>
  </si>
  <si>
    <t>Sep</t>
  </si>
  <si>
    <t>Oct</t>
  </si>
  <si>
    <t>Nov</t>
  </si>
  <si>
    <t>Dec</t>
  </si>
  <si>
    <t>PY Selection</t>
  </si>
  <si>
    <t>PY18</t>
  </si>
  <si>
    <t>SWE Note: This data excludes avoided energy costs from the Arrearages study. Please refer to the 'LI Output' tab for avoided costs to be used for Low Income programs only.</t>
  </si>
  <si>
    <t>Avoided Natural Gas Fuel Costs ($/MMBTU)</t>
  </si>
  <si>
    <t>PA ACT 129 Program Year</t>
  </si>
  <si>
    <t>Year</t>
  </si>
  <si>
    <t>Summer On-Peak</t>
  </si>
  <si>
    <t>Summer Off-Peak</t>
  </si>
  <si>
    <t>Winter On-Peak</t>
  </si>
  <si>
    <t>Winter Off-Peak</t>
  </si>
  <si>
    <t>Shoulder On-Peak</t>
  </si>
  <si>
    <t>Shoulder Off-Peak</t>
  </si>
  <si>
    <t>Segment 1</t>
  </si>
  <si>
    <t>Segment 2</t>
  </si>
  <si>
    <t>Segment 3</t>
  </si>
  <si>
    <t>PY19</t>
  </si>
  <si>
    <t>PY20</t>
  </si>
  <si>
    <t>PY21</t>
  </si>
  <si>
    <t>PY22</t>
  </si>
  <si>
    <t>SWE Note: This data includes avoided energy costs from the Arrearages Study and should only be applied for low income programs</t>
  </si>
  <si>
    <t>Record Field</t>
  </si>
  <si>
    <t>Period</t>
  </si>
  <si>
    <t>Month</t>
  </si>
  <si>
    <t>NYMEX: PJM Western Hub On-peak (Nominal $/MWh)</t>
  </si>
  <si>
    <t>NYMEX: PJM Western Hub Off-peak (Nominal S/MWh)</t>
  </si>
  <si>
    <t>Real-Time, Load-Weighted LMPs ($/MWh)</t>
  </si>
  <si>
    <t>Zone</t>
  </si>
  <si>
    <t>EDC</t>
  </si>
  <si>
    <t>Basis Factor</t>
  </si>
  <si>
    <t>Western Hub</t>
  </si>
  <si>
    <t>Source:  PJM State of the Market Report,  Tables in chapter 11</t>
  </si>
  <si>
    <t>End of Segment I</t>
  </si>
  <si>
    <t>Natural Gas Futures</t>
  </si>
  <si>
    <t>Status</t>
  </si>
  <si>
    <t>Data Needed: TRC Order Section</t>
  </si>
  <si>
    <t>NYMEX Natural Gas Futures at Henry Hub: B.2.b.i Page 15</t>
  </si>
  <si>
    <t>EIA AEO Mid Atlantic Natural Gas Price Forecast in Real Dollars: B.2.b.iii Page 16</t>
  </si>
  <si>
    <t>NYMEX: Henry Hub Natural Gas Price
(Nominal $/MMBTU)</t>
  </si>
  <si>
    <t>EIA AEO Gas Prices (Nominal $/MMBTU)</t>
  </si>
  <si>
    <r>
      <t xml:space="preserve">EIA AEO Mid-Atlantic Data
</t>
    </r>
    <r>
      <rPr>
        <b/>
        <sz val="10"/>
        <rFont val="Calibri"/>
        <family val="2"/>
        <scheme val="minor"/>
      </rPr>
      <t>(Electric Power, Natural Gas 2024 Dollars)</t>
    </r>
    <r>
      <rPr>
        <b/>
        <sz val="10"/>
        <color theme="1"/>
        <rFont val="Calibri"/>
        <family val="2"/>
        <scheme val="minor"/>
      </rPr>
      <t xml:space="preserve">
[$/MMBTU]</t>
    </r>
  </si>
  <si>
    <t>Real</t>
  </si>
  <si>
    <t>Nominal</t>
  </si>
  <si>
    <t>Season</t>
  </si>
  <si>
    <t>Henry,H,F</t>
  </si>
  <si>
    <t>Panhandle,PAN,F</t>
  </si>
  <si>
    <t>TCO,TCO,F</t>
  </si>
  <si>
    <t>TETCO-M3,TMT,F</t>
  </si>
  <si>
    <t>Transco-Z6  (non-NY),TPB,F</t>
  </si>
  <si>
    <t>Transco-Z6 (NY),TZS,F</t>
  </si>
  <si>
    <t>Locational Gas Adjustment ($/MMBtu)</t>
  </si>
  <si>
    <t>Locational Adjustment ($/MMBtu)</t>
  </si>
  <si>
    <t>Load Shape</t>
  </si>
  <si>
    <t>Spark Spread On-Peak ($/MWh)</t>
  </si>
  <si>
    <t>Spark Spread Off-Peak ($/MWh)</t>
  </si>
  <si>
    <t>Commentary:</t>
  </si>
  <si>
    <t>In some cases, the spark spread may be a negative monetary value.  In the marketplace, this may occur for a short period, but usually for an entire month.  However, this factor accounts for differences in the heat rate assumptions and the real market values.  Escalation is later applied in a positive manner as not to over devalue future spark spreads.</t>
  </si>
  <si>
    <t>checks</t>
  </si>
  <si>
    <t>note:  NG values beyond May 2035 are not used</t>
  </si>
  <si>
    <t>PPI Industry Data</t>
  </si>
  <si>
    <t>Original Data Value</t>
  </si>
  <si>
    <t>Source:</t>
  </si>
  <si>
    <t>https://data.bls.gov/timeseries/PCU221110221110</t>
  </si>
  <si>
    <t>Series ID:</t>
  </si>
  <si>
    <t>PCU221110221110</t>
  </si>
  <si>
    <t>Series Title:</t>
  </si>
  <si>
    <t>PPI industry data for Electric power generation, not seasonally adjusted</t>
  </si>
  <si>
    <t>Industry:</t>
  </si>
  <si>
    <t>Electric power generation</t>
  </si>
  <si>
    <t>Product:</t>
  </si>
  <si>
    <t>Base Date:</t>
  </si>
  <si>
    <t>200312</t>
  </si>
  <si>
    <t>Years:</t>
  </si>
  <si>
    <t>2015 to 2025</t>
  </si>
  <si>
    <t>CPI-U, All Items Less Food and Energy</t>
  </si>
  <si>
    <t>Years in Escalation Rate</t>
  </si>
  <si>
    <t>Annual Avg.</t>
  </si>
  <si>
    <t>Full Year Flag</t>
  </si>
  <si>
    <t>The BLS escalation rate is based on the latest five full years of available data.  It is important to have a full year of data as the historical trend is that months early in the year have a higher value than the annual average.</t>
  </si>
  <si>
    <t>PPI Inflation Rate</t>
  </si>
  <si>
    <t>CPI Inflation Rate</t>
  </si>
  <si>
    <t>BLS Escalation Rate</t>
  </si>
  <si>
    <t>PJM Base Residual Auction Results: B.6 Page 17</t>
  </si>
  <si>
    <t>Years Averaged</t>
  </si>
  <si>
    <t>Demand Split</t>
  </si>
  <si>
    <t>Seasonally Adjusted BRA Results (Real $/MW-day)</t>
  </si>
  <si>
    <t>Seasonally Adjusted PJM BRA Results (Real $/kW-year)</t>
  </si>
  <si>
    <t>PJM BRA Results (Real $/MW-day)</t>
  </si>
  <si>
    <t>2020/2021</t>
  </si>
  <si>
    <t>2021/2022</t>
  </si>
  <si>
    <t>2022/2021</t>
  </si>
  <si>
    <t>2023/2024</t>
  </si>
  <si>
    <t>2024/2025</t>
  </si>
  <si>
    <t>2025/2026</t>
  </si>
  <si>
    <t>2026/2027</t>
  </si>
  <si>
    <t>DLCO</t>
  </si>
  <si>
    <t>METED</t>
  </si>
  <si>
    <t>PENLC</t>
  </si>
  <si>
    <t>ATSI</t>
  </si>
  <si>
    <t>PL</t>
  </si>
  <si>
    <t>APS</t>
  </si>
  <si>
    <t>Note: Data through 2024-25 BRA auction does not include winter peak values. Assumed BRA results encompass value for both summer and winter peak. This may change for future auctions</t>
  </si>
  <si>
    <t>Avoided Generation Capacity Forecast in Nominal Dollars (Nominal $/kW-year)</t>
  </si>
  <si>
    <t>DY/PY Start</t>
  </si>
  <si>
    <t>DY/PY End</t>
  </si>
  <si>
    <t>Inflation Flag</t>
  </si>
  <si>
    <t>Input Flag</t>
  </si>
  <si>
    <t>Input</t>
  </si>
  <si>
    <t>annual</t>
  </si>
  <si>
    <t>average</t>
  </si>
  <si>
    <t>Avoided Transmission Capacity Forecast in Nominal Dollars ($/kW-year) - Summer</t>
  </si>
  <si>
    <t>Avoided Distrbution Capacity Forecast in Nominal Dollars ($/kW-year) - Summer</t>
  </si>
  <si>
    <t>Avoided Transmission Capacity Forecast in Nominal Dollars ($/kW-year) - Winter</t>
  </si>
  <si>
    <t>Avoided Distrbution Capacity Forecast in Nominal Dollars ($/kW-year) - Winter</t>
  </si>
  <si>
    <t>Summer Transmission ($/kW-year system-level)</t>
  </si>
  <si>
    <t>Summer Distribution ($/kW-year Nominal)</t>
  </si>
  <si>
    <t>Tool Lookup</t>
  </si>
  <si>
    <t xml:space="preserve">Duquesne Light </t>
  </si>
  <si>
    <t>Duquesne Light</t>
  </si>
  <si>
    <t>FE: Met-Ed</t>
  </si>
  <si>
    <t>FE: Penelec</t>
  </si>
  <si>
    <t>FE: Penn Power</t>
  </si>
  <si>
    <t>FE: West Penn Power</t>
  </si>
  <si>
    <t>Winter Transmission ($/kW-year system-level)</t>
  </si>
  <si>
    <t>Winter Distribution ($/kW-year Nominal)</t>
  </si>
  <si>
    <t>Alternative Energy Portfolio Standards (AEPS) Act</t>
  </si>
  <si>
    <t>Load (MWh)</t>
  </si>
  <si>
    <t>Alternative Enery Credit Prices as of 05/01/24</t>
  </si>
  <si>
    <t>Credit</t>
  </si>
  <si>
    <t>Tier Req (weight)</t>
  </si>
  <si>
    <t>Price</t>
  </si>
  <si>
    <t>Required Credits</t>
  </si>
  <si>
    <t>Cost</t>
  </si>
  <si>
    <t>Tier</t>
  </si>
  <si>
    <t>Reporting Year</t>
  </si>
  <si>
    <t>Marex
(Bid price)</t>
  </si>
  <si>
    <t>Marex
(Offer price)</t>
  </si>
  <si>
    <t>Avg Price</t>
  </si>
  <si>
    <t>Solar</t>
  </si>
  <si>
    <t>Program Year</t>
  </si>
  <si>
    <t>PY End.</t>
  </si>
  <si>
    <t>AEPS Cost</t>
  </si>
  <si>
    <t>Tier I</t>
  </si>
  <si>
    <t xml:space="preserve">Solar </t>
  </si>
  <si>
    <t>Tier II</t>
  </si>
  <si>
    <t>Total</t>
  </si>
  <si>
    <t>Weighted Avg. Price (Per Credit)</t>
  </si>
  <si>
    <t>Weighted Avg. Price (Per MWh)</t>
  </si>
  <si>
    <r>
      <rPr>
        <b/>
        <i/>
        <sz val="10"/>
        <color theme="1"/>
        <rFont val="Calibri"/>
        <family val="2"/>
        <scheme val="minor"/>
      </rPr>
      <t>Data Source</t>
    </r>
    <r>
      <rPr>
        <i/>
        <sz val="10"/>
        <color theme="1"/>
        <rFont val="Calibri"/>
        <family val="2"/>
        <scheme val="minor"/>
      </rPr>
      <t>: PA_DRIPE_Study_Report_05.03.2024</t>
    </r>
  </si>
  <si>
    <t>EDC Name:</t>
  </si>
  <si>
    <t>Column Start:</t>
  </si>
  <si>
    <t>Data from DRIPE report (5.3.24)</t>
  </si>
  <si>
    <t>To Output Table</t>
  </si>
  <si>
    <t>Generation Capacity DRIPE Estimates (System Level)</t>
  </si>
  <si>
    <t>Generation Capacity DRIPE ($/kW yr)</t>
  </si>
  <si>
    <t>Energy DRIPE ($/MWh)</t>
  </si>
  <si>
    <t>West Penn Power</t>
  </si>
  <si>
    <t>Year 1</t>
  </si>
  <si>
    <t>Year 2</t>
  </si>
  <si>
    <t>Year 3</t>
  </si>
  <si>
    <t>Year 4</t>
  </si>
  <si>
    <t>Electric Energy DRIPE Estimates (System Level)</t>
  </si>
  <si>
    <t>Summer Generation Capacity DRIPE ($/kW yr)</t>
  </si>
  <si>
    <t>Winter Generation Capacity DRIPE ($/kW yr)</t>
  </si>
  <si>
    <t>To LI Output Table</t>
  </si>
  <si>
    <t>Arrearages 2026 Data</t>
  </si>
  <si>
    <t>Average kWh savings per participant (System Level)</t>
  </si>
  <si>
    <t>Total Annual Impact Per MWh, $2026</t>
  </si>
  <si>
    <t>Source</t>
  </si>
  <si>
    <t>EDC specific (per draft memo)</t>
  </si>
  <si>
    <t>Statewide (per draft memo)</t>
  </si>
  <si>
    <t>Sector</t>
  </si>
  <si>
    <t>Building Type</t>
  </si>
  <si>
    <t>End Use</t>
  </si>
  <si>
    <t>Summer Peak</t>
  </si>
  <si>
    <t>Summer Off Peak</t>
  </si>
  <si>
    <t>Winter Peak</t>
  </si>
  <si>
    <t>Winter Off Peak</t>
  </si>
  <si>
    <t>Shoulder Peak</t>
  </si>
  <si>
    <t>Shoulder Off Peak</t>
  </si>
  <si>
    <t>Commercial</t>
  </si>
  <si>
    <t>Composite</t>
  </si>
  <si>
    <t>cooling</t>
  </si>
  <si>
    <t>NREL 2023 Comstock End-Use Load Profiles (AMY2018)</t>
  </si>
  <si>
    <t>exterior_lighting</t>
  </si>
  <si>
    <t>fans</t>
  </si>
  <si>
    <t>heat_recovery</t>
  </si>
  <si>
    <t>heat_rejection</t>
  </si>
  <si>
    <t>heating</t>
  </si>
  <si>
    <t>interior_equipment</t>
  </si>
  <si>
    <t>interior_lighting</t>
  </si>
  <si>
    <t>PA Statewide Act 129 2014 Commercial and Residential Light Metering Study</t>
  </si>
  <si>
    <t>pumps</t>
  </si>
  <si>
    <t>refrigeration</t>
  </si>
  <si>
    <t>water_heating</t>
  </si>
  <si>
    <t>whole_building</t>
  </si>
  <si>
    <t>Education</t>
  </si>
  <si>
    <t>Grocery</t>
  </si>
  <si>
    <t>Health</t>
  </si>
  <si>
    <t>Lodging</t>
  </si>
  <si>
    <t>Office</t>
  </si>
  <si>
    <t>Restaurant</t>
  </si>
  <si>
    <t>Retail</t>
  </si>
  <si>
    <t>Warehouse</t>
  </si>
  <si>
    <t>Residential</t>
  </si>
  <si>
    <t>ceiling_fan</t>
  </si>
  <si>
    <t>NREL 2022 Resstock End-Use Load Profiles (TMY3)</t>
  </si>
  <si>
    <t>clothes_dryer</t>
  </si>
  <si>
    <t>clothes_washer</t>
  </si>
  <si>
    <t>cooling_fans_pumps</t>
  </si>
  <si>
    <t>dishwasher</t>
  </si>
  <si>
    <t>freezer</t>
  </si>
  <si>
    <t>heating_fans_pumps</t>
  </si>
  <si>
    <t>heating_hp_bkup</t>
  </si>
  <si>
    <t>hot_tub_heater</t>
  </si>
  <si>
    <t>hot_tub_pump</t>
  </si>
  <si>
    <t>lighting_exterior</t>
  </si>
  <si>
    <t>lighting_garage</t>
  </si>
  <si>
    <t>mech_vent</t>
  </si>
  <si>
    <t>net</t>
  </si>
  <si>
    <t>plug_loads</t>
  </si>
  <si>
    <t>pool_heater</t>
  </si>
  <si>
    <t>pool_pump</t>
  </si>
  <si>
    <t>pv</t>
  </si>
  <si>
    <t>range_oven</t>
  </si>
  <si>
    <t>refrigerator</t>
  </si>
  <si>
    <t>well_pump</t>
  </si>
  <si>
    <t>whole_home</t>
  </si>
  <si>
    <t>Multi Family</t>
  </si>
  <si>
    <t>Single Family</t>
  </si>
  <si>
    <t>LW - LMP</t>
  </si>
  <si>
    <t>LMP</t>
  </si>
  <si>
    <t>DLCO/DUQ</t>
  </si>
  <si>
    <t>Met-Ed/MEC</t>
  </si>
  <si>
    <t>PENELEC/PE</t>
  </si>
  <si>
    <t>DRIPE EDC-Column Lookup</t>
  </si>
  <si>
    <t>Stacked Bars Offset Row Lookup</t>
  </si>
  <si>
    <t>DRIPE Column Ref</t>
  </si>
  <si>
    <t>MetEd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</si>
</sst>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_);[Red]\(&quot;$&quot;#,##0.00\)"/>
    <numFmt numFmtId="44" formatCode="_(&quot;$&quot;* #,##0.00_);_(&quot;$&quot;* \(#,##0.00\);_(&quot;$&quot;* &quot;-&quot;??_);_(@_)"/>
    <numFmt numFmtId="43" formatCode="_(* #,##0.00_);_(* \(#,##0.00\);_(* &quot;-&quot;??_);_(@_)"/>
    <numFmt numFmtId="164" formatCode="[$-409]mmm\-yy;@"/>
    <numFmt numFmtId="165" formatCode="0.0%"/>
    <numFmt numFmtId="166" formatCode="#0.0"/>
    <numFmt numFmtId="167" formatCode="&quot;$&quot;#,##0.00"/>
    <numFmt numFmtId="168" formatCode="_(&quot;$&quot;* #,##0.000_);_(&quot;$&quot;* \(#,##0.000\);_(&quot;$&quot;* &quot;-&quot;??_);_(@_)"/>
    <numFmt numFmtId="169" formatCode="&quot;$&quot;#,##0"/>
    <numFmt numFmtId="170" formatCode="&quot;$&quot;#,##0.000"/>
    <numFmt numFmtId="171" formatCode="_(* #,##0.000_);_(* \(#,##0.000\);_(* &quot;-&quot;??_);_(@_)"/>
    <numFmt numFmtId="172" formatCode="_(* #,##0_);_(* \(#,##0\);_(* &quot;-&quot;??_);_(@_)"/>
    <numFmt numFmtId="173" formatCode="#0"/>
    <numFmt numFmtId="174" formatCode="0.00000%"/>
    <numFmt numFmtId="175" formatCode="0.000"/>
    <numFmt numFmtId="176" formatCode="&quot;$&quot;#,##0.0000"/>
  </numFmts>
  <fonts count="45" x14ac:knownFonts="1">
    <font>
      <sz val="11"/>
      <color theme="1"/>
      <name val="Calibri"/>
      <family val="2"/>
      <scheme val="minor"/>
    </font>
    <font>
      <sz val="11"/>
      <color theme="1"/>
      <name val="Calibri"/>
      <family val="2"/>
      <scheme val="minor"/>
    </font>
    <font>
      <sz val="9"/>
      <color indexed="8"/>
      <name val="Calibri"/>
      <family val="2"/>
    </font>
    <font>
      <sz val="10"/>
      <color theme="1"/>
      <name val="Calibri"/>
      <family val="2"/>
      <scheme val="minor"/>
    </font>
    <font>
      <sz val="10"/>
      <name val="Calibri"/>
      <family val="2"/>
      <scheme val="minor"/>
    </font>
    <font>
      <b/>
      <sz val="10"/>
      <color theme="1"/>
      <name val="Calibri"/>
      <family val="2"/>
      <scheme val="minor"/>
    </font>
    <font>
      <sz val="11"/>
      <color indexed="8"/>
      <name val="Calibri"/>
      <family val="2"/>
      <scheme val="minor"/>
    </font>
    <font>
      <b/>
      <sz val="11"/>
      <color theme="1"/>
      <name val="Calibri"/>
      <family val="2"/>
      <scheme val="minor"/>
    </font>
    <font>
      <b/>
      <sz val="12"/>
      <color indexed="8"/>
      <name val="Calibri"/>
      <family val="2"/>
      <scheme val="minor"/>
    </font>
    <font>
      <b/>
      <sz val="10"/>
      <color indexed="8"/>
      <name val="Calibri"/>
      <family val="2"/>
      <scheme val="minor"/>
    </font>
    <font>
      <sz val="10"/>
      <color indexed="8"/>
      <name val="Calibri"/>
      <family val="2"/>
      <scheme val="minor"/>
    </font>
    <font>
      <b/>
      <sz val="10"/>
      <name val="Calibri"/>
      <family val="2"/>
      <scheme val="minor"/>
    </font>
    <font>
      <sz val="10"/>
      <color rgb="FFFF0000"/>
      <name val="Calibri"/>
      <family val="2"/>
      <scheme val="minor"/>
    </font>
    <font>
      <b/>
      <sz val="10"/>
      <color theme="2" tint="-0.749992370372631"/>
      <name val="Calibri"/>
      <family val="2"/>
      <scheme val="minor"/>
    </font>
    <font>
      <u/>
      <sz val="11"/>
      <color theme="10"/>
      <name val="Calibri"/>
      <family val="2"/>
      <scheme val="minor"/>
    </font>
    <font>
      <sz val="10"/>
      <color theme="0"/>
      <name val="Calibri"/>
      <family val="2"/>
      <scheme val="minor"/>
    </font>
    <font>
      <i/>
      <sz val="10"/>
      <color theme="1"/>
      <name val="Calibri"/>
      <family val="2"/>
      <scheme val="minor"/>
    </font>
    <font>
      <b/>
      <sz val="16"/>
      <color theme="1"/>
      <name val="Calibri"/>
      <family val="2"/>
      <scheme val="minor"/>
    </font>
    <font>
      <sz val="8"/>
      <name val="Calibri"/>
      <family val="2"/>
      <scheme val="minor"/>
    </font>
    <font>
      <sz val="11"/>
      <name val="Calibri"/>
      <family val="2"/>
      <scheme val="minor"/>
    </font>
    <font>
      <b/>
      <sz val="14"/>
      <color theme="1"/>
      <name val="Calibri"/>
      <family val="2"/>
      <scheme val="minor"/>
    </font>
    <font>
      <b/>
      <i/>
      <sz val="10"/>
      <color theme="1"/>
      <name val="Calibri"/>
      <family val="2"/>
      <scheme val="minor"/>
    </font>
    <font>
      <sz val="10"/>
      <color theme="0" tint="-4.9989318521683403E-2"/>
      <name val="Calibri"/>
      <family val="2"/>
      <scheme val="minor"/>
    </font>
    <font>
      <b/>
      <sz val="12"/>
      <color theme="1"/>
      <name val="Calibri"/>
      <family val="2"/>
      <scheme val="minor"/>
    </font>
    <font>
      <sz val="11"/>
      <color theme="0"/>
      <name val="Calibri"/>
      <family val="2"/>
      <scheme val="minor"/>
    </font>
    <font>
      <sz val="11"/>
      <color theme="1" tint="-0.499984740745262"/>
      <name val="Calibri"/>
      <family val="2"/>
      <scheme val="minor"/>
    </font>
    <font>
      <sz val="8"/>
      <color theme="1"/>
      <name val="Calibri"/>
      <family val="2"/>
      <scheme val="minor"/>
    </font>
    <font>
      <b/>
      <sz val="10"/>
      <color rgb="FFFF0000"/>
      <name val="Calibri"/>
      <family val="2"/>
      <scheme val="minor"/>
    </font>
    <font>
      <u/>
      <sz val="10"/>
      <color theme="10"/>
      <name val="Calibri"/>
      <family val="2"/>
      <scheme val="minor"/>
    </font>
    <font>
      <b/>
      <sz val="11"/>
      <color theme="0"/>
      <name val="Calibri"/>
      <family val="2"/>
      <scheme val="minor"/>
    </font>
    <font>
      <sz val="11"/>
      <color rgb="FFFF0000"/>
      <name val="Calibri"/>
      <family val="2"/>
      <scheme val="minor"/>
    </font>
    <font>
      <sz val="9"/>
      <color rgb="FFFF0000"/>
      <name val="Calibri"/>
      <family val="2"/>
      <scheme val="minor"/>
    </font>
    <font>
      <u/>
      <sz val="9"/>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s>
  <fills count="5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39997558519241921"/>
        <bgColor indexed="64"/>
      </patternFill>
    </fill>
    <fill>
      <patternFill patternType="solid">
        <fgColor theme="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4"/>
        <bgColor indexed="64"/>
      </patternFill>
    </fill>
    <fill>
      <patternFill patternType="solid">
        <fgColor rgb="FFA93E2F"/>
        <bgColor indexed="64"/>
      </patternFill>
    </fill>
    <fill>
      <patternFill patternType="solid">
        <fgColor rgb="FFFFFF0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CC99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0">
    <border>
      <left/>
      <right/>
      <top/>
      <bottom/>
      <diagonal/>
    </border>
    <border>
      <left/>
      <right/>
      <top/>
      <bottom style="dashed">
        <color rgb="FFBFBFBF"/>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bottom/>
      <diagonal/>
    </border>
    <border>
      <left style="thin">
        <color rgb="FF0070C0"/>
      </left>
      <right style="thin">
        <color rgb="FF0070C0"/>
      </right>
      <top style="thin">
        <color rgb="FF0070C0"/>
      </top>
      <bottom/>
      <diagonal/>
    </border>
    <border>
      <left style="thin">
        <color rgb="FF0070C0"/>
      </left>
      <right/>
      <top/>
      <bottom/>
      <diagonal/>
    </border>
    <border>
      <left style="thin">
        <color rgb="FF0070C0"/>
      </left>
      <right/>
      <top/>
      <bottom style="thin">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right/>
      <top/>
      <bottom style="thin">
        <color theme="4"/>
      </bottom>
      <diagonal/>
    </border>
    <border>
      <left/>
      <right style="thin">
        <color theme="4"/>
      </right>
      <top/>
      <bottom style="thin">
        <color theme="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theme="4"/>
      </right>
      <top style="thin">
        <color theme="4"/>
      </top>
      <bottom/>
      <diagonal/>
    </border>
    <border>
      <left/>
      <right style="thin">
        <color theme="4"/>
      </right>
      <top/>
      <bottom/>
      <diagonal/>
    </border>
    <border>
      <left style="thin">
        <color theme="4"/>
      </left>
      <right/>
      <top style="thin">
        <color theme="4"/>
      </top>
      <bottom/>
      <diagonal/>
    </border>
    <border>
      <left style="thin">
        <color theme="4"/>
      </left>
      <right/>
      <top/>
      <bottom/>
      <diagonal/>
    </border>
    <border>
      <left style="thin">
        <color theme="4"/>
      </left>
      <right/>
      <top/>
      <bottom style="thin">
        <color theme="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rgb="FF0070C0"/>
      </left>
      <right style="thin">
        <color rgb="FF0070C0"/>
      </right>
      <top/>
      <bottom style="thin">
        <color rgb="FF0070C0"/>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right/>
      <top style="thin">
        <color theme="4"/>
      </top>
      <bottom/>
      <diagonal/>
    </border>
    <border>
      <left style="medium">
        <color indexed="64"/>
      </left>
      <right/>
      <top style="medium">
        <color indexed="64"/>
      </top>
      <bottom/>
      <diagonal/>
    </border>
    <border>
      <left style="medium">
        <color indexed="64"/>
      </left>
      <right/>
      <top/>
      <bottom/>
      <diagonal/>
    </border>
    <border>
      <left/>
      <right style="thin">
        <color rgb="FF0070C0"/>
      </right>
      <top/>
      <bottom style="thin">
        <color rgb="FF0070C0"/>
      </bottom>
      <diagonal/>
    </border>
    <border>
      <left style="thin">
        <color rgb="FF0070C0"/>
      </left>
      <right style="thin">
        <color indexed="64"/>
      </right>
      <top style="thin">
        <color rgb="FF0070C0"/>
      </top>
      <bottom style="thin">
        <color rgb="FF0070C0"/>
      </bottom>
      <diagonal/>
    </border>
    <border>
      <left style="thin">
        <color indexed="64"/>
      </left>
      <right style="thin">
        <color indexed="64"/>
      </right>
      <top style="thin">
        <color rgb="FF0070C0"/>
      </top>
      <bottom style="thin">
        <color rgb="FF0070C0"/>
      </bottom>
      <diagonal/>
    </border>
    <border>
      <left style="thin">
        <color indexed="64"/>
      </left>
      <right style="thin">
        <color rgb="FF0070C0"/>
      </right>
      <top style="thin">
        <color rgb="FF0070C0"/>
      </top>
      <bottom style="thin">
        <color rgb="FF0070C0"/>
      </bottom>
      <diagonal/>
    </border>
    <border>
      <left/>
      <right/>
      <top/>
      <bottom style="medium">
        <color indexed="64"/>
      </bottom>
      <diagonal/>
    </border>
    <border>
      <left style="thin">
        <color theme="4"/>
      </left>
      <right/>
      <top style="thin">
        <color theme="4"/>
      </top>
      <bottom style="thin">
        <color rgb="FF0070C0"/>
      </bottom>
      <diagonal/>
    </border>
    <border>
      <left/>
      <right/>
      <top style="thin">
        <color theme="4"/>
      </top>
      <bottom style="thin">
        <color rgb="FF0070C0"/>
      </bottom>
      <diagonal/>
    </border>
    <border>
      <left/>
      <right style="thin">
        <color theme="4"/>
      </right>
      <top style="thin">
        <color theme="4"/>
      </top>
      <bottom style="thin">
        <color rgb="FF0070C0"/>
      </bottom>
      <diagonal/>
    </border>
    <border>
      <left/>
      <right/>
      <top style="thin">
        <color rgb="FF0070C0"/>
      </top>
      <bottom style="thin">
        <color rgb="FF007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s>
  <cellStyleXfs count="48">
    <xf numFmtId="0" fontId="0" fillId="0" borderId="0"/>
    <xf numFmtId="44" fontId="1" fillId="0" borderId="0" applyFont="0" applyFill="0" applyBorder="0" applyAlignment="0" applyProtection="0"/>
    <xf numFmtId="0" fontId="2" fillId="0" borderId="1" applyNumberFormat="0" applyFont="0" applyProtection="0">
      <alignment wrapText="1"/>
    </xf>
    <xf numFmtId="9" fontId="1" fillId="0" borderId="0" applyFont="0" applyFill="0" applyBorder="0" applyAlignment="0" applyProtection="0"/>
    <xf numFmtId="0" fontId="6" fillId="0" borderId="0"/>
    <xf numFmtId="0" fontId="14" fillId="0" borderId="0" applyNumberFormat="0" applyFill="0" applyBorder="0" applyAlignment="0" applyProtection="0"/>
    <xf numFmtId="43" fontId="1" fillId="0" borderId="0" applyFont="0" applyFill="0" applyBorder="0" applyAlignment="0" applyProtection="0"/>
    <xf numFmtId="0" fontId="33" fillId="0" borderId="0" applyNumberFormat="0" applyFill="0" applyBorder="0" applyAlignment="0" applyProtection="0"/>
    <xf numFmtId="0" fontId="34" fillId="0" borderId="60" applyNumberFormat="0" applyFill="0" applyAlignment="0" applyProtection="0"/>
    <xf numFmtId="0" fontId="35" fillId="0" borderId="61" applyNumberFormat="0" applyFill="0" applyAlignment="0" applyProtection="0"/>
    <xf numFmtId="0" fontId="36" fillId="0" borderId="62"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63" applyNumberFormat="0" applyAlignment="0" applyProtection="0"/>
    <xf numFmtId="0" fontId="41" fillId="25" borderId="64" applyNumberFormat="0" applyAlignment="0" applyProtection="0"/>
    <xf numFmtId="0" fontId="42" fillId="25" borderId="63" applyNumberFormat="0" applyAlignment="0" applyProtection="0"/>
    <xf numFmtId="0" fontId="43" fillId="0" borderId="65" applyNumberFormat="0" applyFill="0" applyAlignment="0" applyProtection="0"/>
    <xf numFmtId="0" fontId="29" fillId="26" borderId="66" applyNumberFormat="0" applyAlignment="0" applyProtection="0"/>
    <xf numFmtId="0" fontId="30" fillId="0" borderId="0" applyNumberFormat="0" applyFill="0" applyBorder="0" applyAlignment="0" applyProtection="0"/>
    <xf numFmtId="0" fontId="1" fillId="27" borderId="67" applyNumberFormat="0" applyFont="0" applyAlignment="0" applyProtection="0"/>
    <xf numFmtId="0" fontId="44" fillId="0" borderId="0" applyNumberFormat="0" applyFill="0" applyBorder="0" applyAlignment="0" applyProtection="0"/>
    <xf numFmtId="0" fontId="7" fillId="0" borderId="68" applyNumberFormat="0" applyFill="0" applyAlignment="0" applyProtection="0"/>
    <xf numFmtId="0" fontId="2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4"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4"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4"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cellStyleXfs>
  <cellXfs count="382">
    <xf numFmtId="0" fontId="0" fillId="0" borderId="0" xfId="0"/>
    <xf numFmtId="0" fontId="3" fillId="0" borderId="0" xfId="0" applyFont="1" applyAlignment="1">
      <alignment wrapText="1"/>
    </xf>
    <xf numFmtId="0" fontId="3" fillId="0" borderId="0" xfId="0" applyFont="1"/>
    <xf numFmtId="0" fontId="3" fillId="0" borderId="2" xfId="0" applyFont="1" applyBorder="1" applyAlignment="1">
      <alignment horizontal="center"/>
    </xf>
    <xf numFmtId="0" fontId="5" fillId="0" borderId="2" xfId="0" applyFont="1" applyBorder="1" applyAlignment="1">
      <alignment horizontal="left" vertical="center" wrapText="1"/>
    </xf>
    <xf numFmtId="0" fontId="5" fillId="0" borderId="4" xfId="0" applyFont="1" applyBorder="1" applyAlignment="1">
      <alignment horizontal="center" vertical="center" wrapText="1"/>
    </xf>
    <xf numFmtId="0" fontId="1" fillId="0" borderId="0" xfId="0" applyFont="1"/>
    <xf numFmtId="166" fontId="10" fillId="2" borderId="9" xfId="4" applyNumberFormat="1" applyFont="1" applyFill="1" applyBorder="1" applyAlignment="1">
      <alignment horizontal="right"/>
    </xf>
    <xf numFmtId="164" fontId="3" fillId="6" borderId="2" xfId="0" applyNumberFormat="1" applyFont="1" applyFill="1" applyBorder="1"/>
    <xf numFmtId="1" fontId="3" fillId="6" borderId="2" xfId="0" applyNumberFormat="1" applyFont="1" applyFill="1" applyBorder="1" applyAlignment="1">
      <alignment horizontal="center"/>
    </xf>
    <xf numFmtId="165" fontId="3" fillId="6" borderId="2" xfId="3" applyNumberFormat="1" applyFont="1" applyFill="1" applyBorder="1"/>
    <xf numFmtId="0" fontId="9" fillId="6" borderId="9" xfId="4" applyFont="1" applyFill="1" applyBorder="1" applyAlignment="1">
      <alignment horizontal="left"/>
    </xf>
    <xf numFmtId="0" fontId="7" fillId="0" borderId="0" xfId="0" applyFont="1"/>
    <xf numFmtId="0" fontId="0" fillId="0" borderId="0" xfId="0" applyAlignment="1">
      <alignment horizontal="center"/>
    </xf>
    <xf numFmtId="167" fontId="3" fillId="4" borderId="2" xfId="1" applyNumberFormat="1" applyFont="1" applyFill="1" applyBorder="1" applyAlignment="1">
      <alignment horizontal="center"/>
    </xf>
    <xf numFmtId="167" fontId="3" fillId="7" borderId="2" xfId="1" applyNumberFormat="1" applyFont="1" applyFill="1" applyBorder="1" applyAlignment="1">
      <alignment horizontal="center"/>
    </xf>
    <xf numFmtId="167" fontId="3" fillId="7" borderId="7" xfId="1" applyNumberFormat="1" applyFont="1" applyFill="1" applyBorder="1" applyAlignment="1">
      <alignment horizontal="center"/>
    </xf>
    <xf numFmtId="167" fontId="3" fillId="5" borderId="2" xfId="1" applyNumberFormat="1" applyFont="1" applyFill="1" applyBorder="1" applyAlignment="1">
      <alignment horizontal="center"/>
    </xf>
    <xf numFmtId="167" fontId="3" fillId="5" borderId="7" xfId="1" applyNumberFormat="1" applyFont="1" applyFill="1" applyBorder="1" applyAlignment="1">
      <alignment horizontal="center"/>
    </xf>
    <xf numFmtId="164" fontId="3" fillId="6" borderId="2" xfId="0" applyNumberFormat="1" applyFont="1" applyFill="1" applyBorder="1" applyAlignment="1">
      <alignment horizontal="center"/>
    </xf>
    <xf numFmtId="167" fontId="5" fillId="0" borderId="2" xfId="0" applyNumberFormat="1" applyFont="1" applyBorder="1" applyAlignment="1">
      <alignment horizontal="center" vertical="center" wrapText="1"/>
    </xf>
    <xf numFmtId="167" fontId="0" fillId="0" borderId="0" xfId="0" applyNumberFormat="1" applyAlignment="1">
      <alignment horizontal="center"/>
    </xf>
    <xf numFmtId="167" fontId="3" fillId="6" borderId="2" xfId="1" applyNumberFormat="1" applyFont="1" applyFill="1" applyBorder="1" applyAlignment="1">
      <alignment horizontal="center"/>
    </xf>
    <xf numFmtId="167" fontId="3" fillId="8" borderId="2" xfId="1" applyNumberFormat="1" applyFont="1" applyFill="1" applyBorder="1" applyAlignment="1">
      <alignment horizontal="center"/>
    </xf>
    <xf numFmtId="167" fontId="3" fillId="9" borderId="2" xfId="1" applyNumberFormat="1" applyFont="1" applyFill="1" applyBorder="1" applyAlignment="1">
      <alignment horizontal="center"/>
    </xf>
    <xf numFmtId="167" fontId="3" fillId="6" borderId="2" xfId="1" applyNumberFormat="1" applyFont="1" applyFill="1" applyBorder="1" applyAlignment="1">
      <alignment horizontal="center" vertical="center"/>
    </xf>
    <xf numFmtId="0" fontId="5" fillId="0" borderId="9" xfId="0" applyFont="1" applyBorder="1"/>
    <xf numFmtId="0" fontId="3" fillId="2" borderId="9" xfId="0" applyFont="1" applyFill="1" applyBorder="1" applyAlignment="1">
      <alignment horizontal="center"/>
    </xf>
    <xf numFmtId="0" fontId="3" fillId="0" borderId="9" xfId="0" applyFont="1" applyBorder="1"/>
    <xf numFmtId="0" fontId="3" fillId="6" borderId="9" xfId="0" applyFont="1" applyFill="1" applyBorder="1" applyAlignment="1">
      <alignment horizontal="center"/>
    </xf>
    <xf numFmtId="0" fontId="3" fillId="6" borderId="9" xfId="0" applyFont="1" applyFill="1" applyBorder="1" applyAlignment="1">
      <alignment horizontal="center" vertical="center"/>
    </xf>
    <xf numFmtId="0" fontId="4" fillId="0" borderId="9" xfId="0" applyFont="1" applyBorder="1"/>
    <xf numFmtId="0" fontId="11" fillId="0" borderId="9" xfId="0" applyFont="1" applyBorder="1" applyAlignment="1">
      <alignment horizontal="center" wrapText="1"/>
    </xf>
    <xf numFmtId="0" fontId="11" fillId="0" borderId="9" xfId="0" applyFont="1" applyBorder="1" applyAlignment="1">
      <alignment horizontal="left"/>
    </xf>
    <xf numFmtId="0" fontId="5" fillId="8" borderId="9" xfId="0" applyFont="1" applyFill="1" applyBorder="1"/>
    <xf numFmtId="0" fontId="3" fillId="6" borderId="9" xfId="0" applyFont="1" applyFill="1" applyBorder="1"/>
    <xf numFmtId="167" fontId="3" fillId="6" borderId="9" xfId="0" applyNumberFormat="1" applyFont="1" applyFill="1" applyBorder="1" applyAlignment="1">
      <alignment horizontal="center" vertical="center"/>
    </xf>
    <xf numFmtId="0" fontId="3" fillId="2" borderId="9" xfId="0" applyFont="1" applyFill="1" applyBorder="1"/>
    <xf numFmtId="0" fontId="5" fillId="0" borderId="9" xfId="0" applyFont="1" applyBorder="1" applyAlignment="1">
      <alignment horizontal="left" vertical="center" wrapText="1"/>
    </xf>
    <xf numFmtId="0" fontId="3" fillId="4" borderId="9" xfId="0" applyFont="1" applyFill="1" applyBorder="1"/>
    <xf numFmtId="0" fontId="3" fillId="7" borderId="9" xfId="0" applyFont="1" applyFill="1" applyBorder="1"/>
    <xf numFmtId="0" fontId="3" fillId="5" borderId="9" xfId="0" applyFont="1" applyFill="1" applyBorder="1"/>
    <xf numFmtId="0" fontId="5" fillId="8" borderId="9" xfId="0" applyFont="1" applyFill="1" applyBorder="1" applyAlignment="1">
      <alignment horizontal="left"/>
    </xf>
    <xf numFmtId="0" fontId="12" fillId="0" borderId="9" xfId="0" applyFont="1" applyBorder="1" applyAlignment="1">
      <alignment horizontal="center"/>
    </xf>
    <xf numFmtId="167" fontId="3" fillId="6" borderId="2" xfId="1" applyNumberFormat="1" applyFont="1" applyFill="1" applyBorder="1"/>
    <xf numFmtId="167" fontId="3" fillId="6" borderId="9" xfId="0" applyNumberFormat="1" applyFont="1" applyFill="1" applyBorder="1" applyAlignment="1">
      <alignment horizontal="center"/>
    </xf>
    <xf numFmtId="169" fontId="3" fillId="6" borderId="9" xfId="0" applyNumberFormat="1" applyFont="1" applyFill="1" applyBorder="1" applyAlignment="1">
      <alignment horizontal="center"/>
    </xf>
    <xf numFmtId="0" fontId="5" fillId="6" borderId="9" xfId="0" applyFont="1" applyFill="1" applyBorder="1" applyAlignment="1">
      <alignment horizontal="center"/>
    </xf>
    <xf numFmtId="169" fontId="5" fillId="6" borderId="9" xfId="0" applyNumberFormat="1" applyFont="1" applyFill="1" applyBorder="1" applyAlignment="1">
      <alignment horizontal="center"/>
    </xf>
    <xf numFmtId="165" fontId="3" fillId="6" borderId="9" xfId="3" applyNumberFormat="1" applyFont="1" applyFill="1" applyBorder="1" applyAlignment="1">
      <alignment horizontal="center"/>
    </xf>
    <xf numFmtId="0" fontId="3" fillId="12" borderId="0" xfId="0" applyFont="1" applyFill="1"/>
    <xf numFmtId="0" fontId="3" fillId="12" borderId="0" xfId="0" applyFont="1" applyFill="1" applyAlignment="1">
      <alignment wrapText="1"/>
    </xf>
    <xf numFmtId="0" fontId="5" fillId="12" borderId="0" xfId="0" applyFont="1" applyFill="1" applyAlignment="1">
      <alignment wrapText="1"/>
    </xf>
    <xf numFmtId="0" fontId="11" fillId="10" borderId="9" xfId="0" applyFont="1" applyFill="1" applyBorder="1" applyAlignment="1">
      <alignment horizontal="center"/>
    </xf>
    <xf numFmtId="167" fontId="3" fillId="3" borderId="9" xfId="0" applyNumberFormat="1" applyFont="1" applyFill="1" applyBorder="1" applyAlignment="1">
      <alignment horizontal="center"/>
    </xf>
    <xf numFmtId="167" fontId="3" fillId="11" borderId="9" xfId="0" applyNumberFormat="1" applyFont="1" applyFill="1" applyBorder="1" applyAlignment="1">
      <alignment horizontal="center"/>
    </xf>
    <xf numFmtId="167" fontId="3" fillId="9" borderId="9" xfId="0" applyNumberFormat="1" applyFont="1" applyFill="1" applyBorder="1" applyAlignment="1">
      <alignment horizontal="center"/>
    </xf>
    <xf numFmtId="167" fontId="3" fillId="4" borderId="6" xfId="1" applyNumberFormat="1" applyFont="1" applyFill="1" applyBorder="1" applyAlignment="1">
      <alignment horizontal="center"/>
    </xf>
    <xf numFmtId="167" fontId="3" fillId="12" borderId="0" xfId="0" applyNumberFormat="1" applyFont="1" applyFill="1" applyAlignment="1">
      <alignment horizontal="center"/>
    </xf>
    <xf numFmtId="0" fontId="3" fillId="12" borderId="0" xfId="0" applyFont="1" applyFill="1" applyAlignment="1">
      <alignment horizontal="center"/>
    </xf>
    <xf numFmtId="167" fontId="3" fillId="12" borderId="5" xfId="0" applyNumberFormat="1" applyFont="1" applyFill="1" applyBorder="1" applyAlignment="1">
      <alignment horizontal="center"/>
    </xf>
    <xf numFmtId="167" fontId="3" fillId="12" borderId="5" xfId="1" applyNumberFormat="1" applyFont="1" applyFill="1" applyBorder="1" applyAlignment="1">
      <alignment horizontal="center"/>
    </xf>
    <xf numFmtId="167" fontId="3" fillId="12" borderId="0" xfId="1" applyNumberFormat="1" applyFont="1" applyFill="1" applyBorder="1" applyAlignment="1">
      <alignment horizontal="center"/>
    </xf>
    <xf numFmtId="167" fontId="3" fillId="12" borderId="0" xfId="0" applyNumberFormat="1" applyFont="1" applyFill="1"/>
    <xf numFmtId="44" fontId="3" fillId="12" borderId="0" xfId="0" applyNumberFormat="1" applyFont="1" applyFill="1"/>
    <xf numFmtId="44" fontId="3" fillId="12" borderId="0" xfId="1" applyFont="1" applyFill="1"/>
    <xf numFmtId="0" fontId="4" fillId="12" borderId="0" xfId="0" applyFont="1" applyFill="1"/>
    <xf numFmtId="0" fontId="15" fillId="13" borderId="18" xfId="0" applyFont="1" applyFill="1" applyBorder="1"/>
    <xf numFmtId="0" fontId="16" fillId="12" borderId="0" xfId="0" applyFont="1" applyFill="1"/>
    <xf numFmtId="167" fontId="16" fillId="12" borderId="0" xfId="0" applyNumberFormat="1" applyFont="1" applyFill="1"/>
    <xf numFmtId="0" fontId="17" fillId="12" borderId="0" xfId="0" applyFont="1" applyFill="1"/>
    <xf numFmtId="0" fontId="5" fillId="12" borderId="0" xfId="0" applyFont="1" applyFill="1" applyAlignment="1">
      <alignment horizontal="center" vertical="center" wrapText="1"/>
    </xf>
    <xf numFmtId="0" fontId="3" fillId="12" borderId="0" xfId="0" applyFont="1" applyFill="1" applyAlignment="1">
      <alignment horizontal="center" vertical="center" wrapText="1"/>
    </xf>
    <xf numFmtId="0" fontId="3" fillId="12" borderId="0" xfId="0" applyFont="1" applyFill="1" applyAlignment="1">
      <alignment horizontal="center" vertical="center"/>
    </xf>
    <xf numFmtId="44" fontId="3" fillId="12" borderId="0" xfId="1" applyFont="1" applyFill="1" applyBorder="1" applyAlignment="1">
      <alignment horizontal="center" vertical="center"/>
    </xf>
    <xf numFmtId="2" fontId="11" fillId="12" borderId="0" xfId="0" applyNumberFormat="1" applyFont="1" applyFill="1" applyAlignment="1">
      <alignment vertical="center"/>
    </xf>
    <xf numFmtId="14" fontId="3" fillId="12" borderId="0" xfId="0" applyNumberFormat="1" applyFont="1" applyFill="1"/>
    <xf numFmtId="14" fontId="4" fillId="12" borderId="0" xfId="0" applyNumberFormat="1" applyFont="1" applyFill="1"/>
    <xf numFmtId="0" fontId="3" fillId="0" borderId="33" xfId="0" applyFont="1" applyBorder="1"/>
    <xf numFmtId="0" fontId="3" fillId="0" borderId="34" xfId="0" applyFont="1" applyBorder="1"/>
    <xf numFmtId="0" fontId="3" fillId="12" borderId="0" xfId="0" quotePrefix="1" applyFont="1" applyFill="1"/>
    <xf numFmtId="171" fontId="3" fillId="12" borderId="0" xfId="6" applyNumberFormat="1" applyFont="1" applyFill="1"/>
    <xf numFmtId="172" fontId="3" fillId="12" borderId="0" xfId="6" applyNumberFormat="1" applyFont="1" applyFill="1"/>
    <xf numFmtId="0" fontId="0" fillId="12" borderId="0" xfId="0" applyFill="1"/>
    <xf numFmtId="0" fontId="5" fillId="12" borderId="0" xfId="0" applyFont="1" applyFill="1"/>
    <xf numFmtId="0" fontId="12" fillId="12" borderId="0" xfId="0" applyFont="1" applyFill="1" applyAlignment="1">
      <alignment horizontal="center" vertical="center"/>
    </xf>
    <xf numFmtId="0" fontId="12" fillId="12" borderId="0" xfId="0" applyFont="1" applyFill="1"/>
    <xf numFmtId="0" fontId="22" fillId="12" borderId="0" xfId="0" applyFont="1" applyFill="1"/>
    <xf numFmtId="0" fontId="3" fillId="6" borderId="43" xfId="0" applyFont="1" applyFill="1" applyBorder="1" applyAlignment="1">
      <alignment horizontal="center"/>
    </xf>
    <xf numFmtId="0" fontId="3" fillId="6" borderId="45" xfId="0" applyFont="1" applyFill="1" applyBorder="1" applyAlignment="1">
      <alignment horizontal="center"/>
    </xf>
    <xf numFmtId="0" fontId="23" fillId="12" borderId="0" xfId="0" applyFont="1" applyFill="1"/>
    <xf numFmtId="0" fontId="3" fillId="2" borderId="2" xfId="0" applyFont="1" applyFill="1" applyBorder="1" applyAlignment="1">
      <alignment horizontal="right" vertical="center" wrapText="1"/>
    </xf>
    <xf numFmtId="0" fontId="9" fillId="0" borderId="9" xfId="4" applyFont="1" applyBorder="1" applyAlignment="1">
      <alignment horizontal="left"/>
    </xf>
    <xf numFmtId="173" fontId="10" fillId="2" borderId="9" xfId="4" applyNumberFormat="1" applyFont="1" applyFill="1" applyBorder="1" applyAlignment="1">
      <alignment horizontal="right"/>
    </xf>
    <xf numFmtId="44" fontId="12" fillId="12" borderId="0" xfId="1" applyFont="1" applyFill="1" applyBorder="1" applyAlignment="1">
      <alignment horizontal="left" vertical="center"/>
    </xf>
    <xf numFmtId="43" fontId="3" fillId="12" borderId="0" xfId="0" applyNumberFormat="1" applyFont="1" applyFill="1"/>
    <xf numFmtId="44" fontId="3" fillId="12" borderId="0" xfId="0" applyNumberFormat="1" applyFont="1" applyFill="1" applyAlignment="1">
      <alignment horizontal="center" vertical="center"/>
    </xf>
    <xf numFmtId="167" fontId="4" fillId="2" borderId="32" xfId="0" applyNumberFormat="1" applyFont="1" applyFill="1" applyBorder="1" applyAlignment="1">
      <alignment horizontal="center"/>
    </xf>
    <xf numFmtId="0" fontId="5" fillId="0" borderId="4" xfId="0" quotePrefix="1" applyFont="1" applyBorder="1" applyAlignment="1">
      <alignment horizontal="center" vertical="center" wrapText="1"/>
    </xf>
    <xf numFmtId="170" fontId="3" fillId="6" borderId="9" xfId="0" applyNumberFormat="1" applyFont="1" applyFill="1" applyBorder="1" applyAlignment="1">
      <alignment horizontal="center"/>
    </xf>
    <xf numFmtId="1" fontId="3" fillId="6" borderId="7" xfId="0" applyNumberFormat="1" applyFont="1" applyFill="1" applyBorder="1"/>
    <xf numFmtId="166" fontId="3" fillId="6" borderId="9" xfId="0" applyNumberFormat="1" applyFont="1" applyFill="1" applyBorder="1" applyAlignment="1">
      <alignment horizontal="center"/>
    </xf>
    <xf numFmtId="10" fontId="5" fillId="6" borderId="9" xfId="3" applyNumberFormat="1" applyFont="1" applyFill="1" applyBorder="1" applyAlignment="1">
      <alignment horizontal="center"/>
    </xf>
    <xf numFmtId="173" fontId="3" fillId="6" borderId="9" xfId="0" applyNumberFormat="1" applyFont="1" applyFill="1" applyBorder="1" applyAlignment="1">
      <alignment horizontal="center"/>
    </xf>
    <xf numFmtId="0" fontId="11" fillId="0" borderId="32" xfId="0" applyFont="1" applyBorder="1" applyAlignment="1">
      <alignment horizontal="center"/>
    </xf>
    <xf numFmtId="0" fontId="11" fillId="0" borderId="18" xfId="0" applyFont="1" applyBorder="1" applyAlignment="1">
      <alignment horizontal="center"/>
    </xf>
    <xf numFmtId="0" fontId="11" fillId="0" borderId="23" xfId="0" applyFont="1" applyBorder="1" applyAlignment="1">
      <alignment horizontal="center"/>
    </xf>
    <xf numFmtId="0" fontId="0" fillId="10" borderId="0" xfId="0" applyFill="1"/>
    <xf numFmtId="0" fontId="23" fillId="10" borderId="0" xfId="0" applyFont="1" applyFill="1"/>
    <xf numFmtId="9" fontId="0" fillId="10" borderId="0" xfId="3" applyFont="1" applyFill="1"/>
    <xf numFmtId="44" fontId="0" fillId="10" borderId="0" xfId="0" applyNumberFormat="1" applyFill="1"/>
    <xf numFmtId="0" fontId="7" fillId="12" borderId="0" xfId="0" applyFont="1" applyFill="1"/>
    <xf numFmtId="9" fontId="3" fillId="12" borderId="0" xfId="3" applyFont="1" applyFill="1"/>
    <xf numFmtId="9" fontId="3" fillId="12" borderId="0" xfId="3" applyFont="1" applyFill="1" applyBorder="1"/>
    <xf numFmtId="0" fontId="5" fillId="0" borderId="9" xfId="0" applyFont="1" applyBorder="1" applyAlignment="1">
      <alignment horizontal="center" wrapText="1"/>
    </xf>
    <xf numFmtId="0" fontId="5" fillId="12" borderId="48" xfId="0" applyFont="1" applyFill="1" applyBorder="1"/>
    <xf numFmtId="49" fontId="5" fillId="0" borderId="2" xfId="1" applyNumberFormat="1" applyFont="1" applyFill="1" applyBorder="1" applyAlignment="1">
      <alignment horizontal="center" wrapText="1"/>
    </xf>
    <xf numFmtId="167" fontId="3" fillId="4" borderId="38" xfId="1" applyNumberFormat="1" applyFont="1" applyFill="1" applyBorder="1" applyAlignment="1">
      <alignment horizontal="center"/>
    </xf>
    <xf numFmtId="44" fontId="5" fillId="8" borderId="2" xfId="1" applyFont="1" applyFill="1" applyBorder="1" applyAlignment="1">
      <alignment horizontal="center" vertical="center" wrapText="1"/>
    </xf>
    <xf numFmtId="167" fontId="3" fillId="4" borderId="51" xfId="1" applyNumberFormat="1" applyFont="1" applyFill="1" applyBorder="1" applyAlignment="1">
      <alignment horizontal="center"/>
    </xf>
    <xf numFmtId="167" fontId="3" fillId="4" borderId="8" xfId="1" applyNumberFormat="1" applyFont="1" applyFill="1" applyBorder="1" applyAlignment="1">
      <alignment horizontal="center"/>
    </xf>
    <xf numFmtId="167" fontId="3" fillId="7" borderId="8" xfId="1" applyNumberFormat="1" applyFont="1" applyFill="1" applyBorder="1" applyAlignment="1">
      <alignment horizontal="center"/>
    </xf>
    <xf numFmtId="167" fontId="3" fillId="5" borderId="8" xfId="1" applyNumberFormat="1" applyFont="1" applyFill="1" applyBorder="1" applyAlignment="1">
      <alignment horizontal="center"/>
    </xf>
    <xf numFmtId="1" fontId="5" fillId="6" borderId="2" xfId="1" applyNumberFormat="1" applyFont="1" applyFill="1" applyBorder="1" applyAlignment="1">
      <alignment horizontal="center" wrapText="1"/>
    </xf>
    <xf numFmtId="49" fontId="5" fillId="6" borderId="2" xfId="1" applyNumberFormat="1" applyFont="1" applyFill="1" applyBorder="1" applyAlignment="1">
      <alignment horizontal="center" wrapText="1"/>
    </xf>
    <xf numFmtId="0" fontId="3" fillId="12" borderId="18" xfId="0" applyFont="1" applyFill="1" applyBorder="1"/>
    <xf numFmtId="0" fontId="3" fillId="12" borderId="24" xfId="0" applyFont="1" applyFill="1" applyBorder="1"/>
    <xf numFmtId="0" fontId="0" fillId="12" borderId="0" xfId="0" applyFill="1" applyAlignment="1">
      <alignment horizontal="center"/>
    </xf>
    <xf numFmtId="167" fontId="0" fillId="12" borderId="0" xfId="0" applyNumberFormat="1" applyFill="1" applyAlignment="1">
      <alignment horizontal="center"/>
    </xf>
    <xf numFmtId="167" fontId="5" fillId="12" borderId="2" xfId="0" applyNumberFormat="1" applyFont="1" applyFill="1" applyBorder="1" applyAlignment="1">
      <alignment horizontal="center" vertical="center" wrapText="1"/>
    </xf>
    <xf numFmtId="167" fontId="3" fillId="12" borderId="4" xfId="1" applyNumberFormat="1" applyFont="1" applyFill="1" applyBorder="1" applyAlignment="1">
      <alignment horizontal="center"/>
    </xf>
    <xf numFmtId="167" fontId="3" fillId="12" borderId="3" xfId="1" applyNumberFormat="1" applyFont="1" applyFill="1" applyBorder="1" applyAlignment="1">
      <alignment horizontal="center"/>
    </xf>
    <xf numFmtId="0" fontId="11" fillId="0" borderId="2" xfId="0" applyFont="1" applyBorder="1" applyAlignment="1">
      <alignment horizontal="center" vertical="center"/>
    </xf>
    <xf numFmtId="0" fontId="11" fillId="6" borderId="2" xfId="0" applyFont="1" applyFill="1" applyBorder="1" applyAlignment="1">
      <alignment horizontal="center" vertical="center"/>
    </xf>
    <xf numFmtId="0" fontId="4" fillId="6" borderId="2" xfId="0" applyFont="1" applyFill="1" applyBorder="1" applyAlignment="1">
      <alignment horizontal="center" vertical="center"/>
    </xf>
    <xf numFmtId="9" fontId="4" fillId="12" borderId="2" xfId="3" applyFont="1" applyFill="1" applyBorder="1" applyAlignment="1">
      <alignment horizontal="center" vertical="center"/>
    </xf>
    <xf numFmtId="0" fontId="3" fillId="6" borderId="2" xfId="0" applyFont="1" applyFill="1" applyBorder="1" applyAlignment="1">
      <alignment horizontal="center" vertical="center"/>
    </xf>
    <xf numFmtId="9" fontId="4" fillId="6" borderId="2" xfId="3" applyFont="1" applyFill="1" applyBorder="1" applyAlignment="1">
      <alignment horizontal="center" vertical="center"/>
    </xf>
    <xf numFmtId="164" fontId="3" fillId="6" borderId="2" xfId="0" applyNumberFormat="1" applyFont="1" applyFill="1" applyBorder="1" applyAlignment="1">
      <alignment horizontal="center" vertical="center"/>
    </xf>
    <xf numFmtId="167" fontId="3" fillId="2" borderId="2" xfId="1" applyNumberFormat="1" applyFont="1" applyFill="1" applyBorder="1" applyAlignment="1">
      <alignment horizontal="center" vertical="center"/>
    </xf>
    <xf numFmtId="167" fontId="3" fillId="2" borderId="4" xfId="1" applyNumberFormat="1" applyFont="1" applyFill="1" applyBorder="1" applyAlignment="1">
      <alignment horizontal="center" vertical="center"/>
    </xf>
    <xf numFmtId="167" fontId="3" fillId="6" borderId="4" xfId="1" applyNumberFormat="1" applyFont="1" applyFill="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1" fontId="3" fillId="0" borderId="2" xfId="0" applyNumberFormat="1" applyFont="1" applyBorder="1" applyAlignment="1">
      <alignment horizontal="center" vertical="center"/>
    </xf>
    <xf numFmtId="1" fontId="3" fillId="0" borderId="4" xfId="0" applyNumberFormat="1" applyFont="1" applyBorder="1" applyAlignment="1">
      <alignment horizontal="center" vertical="center"/>
    </xf>
    <xf numFmtId="44" fontId="0" fillId="12" borderId="0" xfId="0" applyNumberFormat="1" applyFill="1"/>
    <xf numFmtId="0" fontId="9" fillId="0" borderId="10" xfId="4" applyFont="1" applyBorder="1" applyAlignment="1">
      <alignment horizontal="left" vertical="top" wrapText="1"/>
    </xf>
    <xf numFmtId="0" fontId="9" fillId="0" borderId="9" xfId="4" applyFont="1" applyBorder="1" applyAlignment="1">
      <alignment horizontal="left" vertical="top" wrapText="1"/>
    </xf>
    <xf numFmtId="0" fontId="9" fillId="0" borderId="9" xfId="4" applyFont="1" applyBorder="1" applyAlignment="1">
      <alignment horizontal="center" wrapText="1"/>
    </xf>
    <xf numFmtId="0" fontId="1" fillId="0" borderId="10" xfId="0" applyFont="1" applyBorder="1"/>
    <xf numFmtId="0" fontId="1" fillId="0" borderId="11" xfId="0" applyFont="1" applyBorder="1"/>
    <xf numFmtId="0" fontId="1" fillId="12" borderId="0" xfId="0" applyFont="1" applyFill="1"/>
    <xf numFmtId="0" fontId="9" fillId="12" borderId="0" xfId="4" applyFont="1" applyFill="1" applyAlignment="1">
      <alignment horizontal="left" vertical="top" wrapText="1"/>
    </xf>
    <xf numFmtId="0" fontId="10" fillId="12" borderId="0" xfId="4" applyFont="1" applyFill="1" applyAlignment="1">
      <alignment horizontal="left"/>
    </xf>
    <xf numFmtId="0" fontId="12" fillId="12" borderId="0" xfId="4" applyFont="1" applyFill="1"/>
    <xf numFmtId="0" fontId="19" fillId="12" borderId="0" xfId="0" applyFont="1" applyFill="1"/>
    <xf numFmtId="166" fontId="1" fillId="12" borderId="0" xfId="0" applyNumberFormat="1" applyFont="1" applyFill="1"/>
    <xf numFmtId="0" fontId="9" fillId="0" borderId="2" xfId="4" applyFont="1" applyBorder="1" applyAlignment="1">
      <alignment horizontal="center" wrapText="1"/>
    </xf>
    <xf numFmtId="167" fontId="12" fillId="12" borderId="0" xfId="0" applyNumberFormat="1" applyFont="1" applyFill="1" applyAlignment="1">
      <alignment horizontal="center"/>
    </xf>
    <xf numFmtId="0" fontId="5" fillId="8" borderId="2" xfId="0" applyFont="1" applyFill="1" applyBorder="1" applyAlignment="1">
      <alignment horizontal="center" vertical="center" wrapText="1"/>
    </xf>
    <xf numFmtId="167" fontId="5" fillId="8" borderId="2" xfId="0" applyNumberFormat="1" applyFont="1" applyFill="1" applyBorder="1" applyAlignment="1">
      <alignment horizontal="center" vertical="center" wrapText="1"/>
    </xf>
    <xf numFmtId="167" fontId="3" fillId="2" borderId="2" xfId="1" applyNumberFormat="1" applyFont="1" applyFill="1" applyBorder="1" applyAlignment="1">
      <alignment horizontal="center"/>
    </xf>
    <xf numFmtId="167" fontId="3" fillId="0" borderId="2" xfId="1" applyNumberFormat="1" applyFont="1" applyBorder="1" applyAlignment="1">
      <alignment horizontal="center"/>
    </xf>
    <xf numFmtId="167" fontId="3" fillId="4" borderId="2" xfId="0" applyNumberFormat="1" applyFont="1" applyFill="1" applyBorder="1" applyAlignment="1">
      <alignment horizontal="center"/>
    </xf>
    <xf numFmtId="0" fontId="5" fillId="12" borderId="0" xfId="0" applyFont="1" applyFill="1" applyAlignment="1">
      <alignment horizontal="left"/>
    </xf>
    <xf numFmtId="0" fontId="3" fillId="0" borderId="9" xfId="0" applyFont="1" applyBorder="1" applyAlignment="1">
      <alignment horizontal="left"/>
    </xf>
    <xf numFmtId="0" fontId="5" fillId="12" borderId="40" xfId="0" applyFont="1" applyFill="1" applyBorder="1" applyAlignment="1">
      <alignment horizontal="center"/>
    </xf>
    <xf numFmtId="0" fontId="5" fillId="12" borderId="22" xfId="0" applyFont="1" applyFill="1" applyBorder="1" applyAlignment="1">
      <alignment horizontal="center"/>
    </xf>
    <xf numFmtId="0" fontId="3" fillId="12" borderId="34" xfId="0" applyFont="1" applyFill="1" applyBorder="1"/>
    <xf numFmtId="0" fontId="3" fillId="12" borderId="23" xfId="0" applyFont="1" applyFill="1" applyBorder="1"/>
    <xf numFmtId="0" fontId="3" fillId="12" borderId="33" xfId="0" applyFont="1" applyFill="1" applyBorder="1"/>
    <xf numFmtId="0" fontId="3" fillId="12" borderId="25" xfId="0" applyFont="1" applyFill="1" applyBorder="1"/>
    <xf numFmtId="8" fontId="3" fillId="12" borderId="0" xfId="0" applyNumberFormat="1" applyFont="1" applyFill="1"/>
    <xf numFmtId="0" fontId="29" fillId="14" borderId="2" xfId="0" applyFont="1" applyFill="1" applyBorder="1" applyAlignment="1">
      <alignment horizontal="center"/>
    </xf>
    <xf numFmtId="0" fontId="29" fillId="15" borderId="2" xfId="0" applyFont="1" applyFill="1" applyBorder="1" applyAlignment="1">
      <alignment horizontal="center"/>
    </xf>
    <xf numFmtId="0" fontId="1" fillId="0" borderId="9" xfId="0" applyFont="1" applyBorder="1"/>
    <xf numFmtId="10" fontId="5" fillId="2" borderId="9" xfId="3" applyNumberFormat="1" applyFont="1" applyFill="1" applyBorder="1" applyAlignment="1">
      <alignment horizontal="center"/>
    </xf>
    <xf numFmtId="0" fontId="5" fillId="0" borderId="12" xfId="0" applyFont="1" applyBorder="1" applyAlignment="1">
      <alignment horizontal="right" indent="1"/>
    </xf>
    <xf numFmtId="44" fontId="3" fillId="12" borderId="0" xfId="1" applyFont="1" applyFill="1" applyBorder="1" applyAlignment="1">
      <alignment horizontal="left" vertical="center"/>
    </xf>
    <xf numFmtId="0" fontId="5" fillId="0" borderId="21" xfId="0" applyFont="1" applyBorder="1" applyAlignment="1">
      <alignment horizontal="center"/>
    </xf>
    <xf numFmtId="0" fontId="5" fillId="0" borderId="22" xfId="0" applyFont="1" applyBorder="1" applyAlignment="1">
      <alignment horizontal="center"/>
    </xf>
    <xf numFmtId="168" fontId="3" fillId="12" borderId="0" xfId="1" applyNumberFormat="1" applyFont="1" applyFill="1" applyBorder="1"/>
    <xf numFmtId="0" fontId="26" fillId="12" borderId="0" xfId="0" applyFont="1" applyFill="1"/>
    <xf numFmtId="3" fontId="3" fillId="6" borderId="2" xfId="0" applyNumberFormat="1" applyFont="1" applyFill="1" applyBorder="1" applyAlignment="1">
      <alignment horizontal="right" vertical="center" wrapText="1"/>
    </xf>
    <xf numFmtId="0" fontId="5" fillId="0" borderId="40" xfId="0" applyFont="1" applyBorder="1" applyAlignment="1">
      <alignment horizontal="center"/>
    </xf>
    <xf numFmtId="0" fontId="12" fillId="0" borderId="9" xfId="0" applyFont="1" applyBorder="1"/>
    <xf numFmtId="0" fontId="27" fillId="12" borderId="0" xfId="0" applyFont="1" applyFill="1" applyAlignment="1">
      <alignment vertical="center"/>
    </xf>
    <xf numFmtId="0" fontId="5" fillId="12" borderId="0" xfId="0" applyFont="1" applyFill="1" applyAlignment="1">
      <alignment horizontal="center"/>
    </xf>
    <xf numFmtId="9" fontId="3" fillId="6" borderId="9" xfId="3" applyFont="1" applyFill="1" applyBorder="1" applyAlignment="1">
      <alignment horizontal="center"/>
    </xf>
    <xf numFmtId="0" fontId="4" fillId="0" borderId="9" xfId="0" applyFont="1" applyBorder="1" applyAlignment="1">
      <alignment horizontal="left"/>
    </xf>
    <xf numFmtId="44" fontId="3" fillId="2" borderId="2" xfId="1" applyFont="1" applyFill="1" applyBorder="1" applyAlignment="1">
      <alignment horizontal="center" vertical="center"/>
    </xf>
    <xf numFmtId="167" fontId="25" fillId="2" borderId="2" xfId="0" applyNumberFormat="1" applyFont="1" applyFill="1" applyBorder="1" applyAlignment="1">
      <alignment horizontal="center"/>
    </xf>
    <xf numFmtId="167" fontId="0" fillId="2" borderId="2" xfId="0" applyNumberFormat="1" applyFill="1" applyBorder="1"/>
    <xf numFmtId="8" fontId="3" fillId="6" borderId="9" xfId="0" applyNumberFormat="1" applyFont="1" applyFill="1" applyBorder="1" applyAlignment="1">
      <alignment horizontal="center" vertical="center"/>
    </xf>
    <xf numFmtId="167" fontId="3" fillId="2" borderId="18" xfId="0" applyNumberFormat="1" applyFont="1" applyFill="1" applyBorder="1" applyAlignment="1">
      <alignment horizontal="center"/>
    </xf>
    <xf numFmtId="167" fontId="3" fillId="2" borderId="23" xfId="0" applyNumberFormat="1" applyFont="1" applyFill="1" applyBorder="1" applyAlignment="1">
      <alignment horizontal="center"/>
    </xf>
    <xf numFmtId="167" fontId="3" fillId="2" borderId="39" xfId="0" applyNumberFormat="1" applyFont="1" applyFill="1" applyBorder="1" applyAlignment="1">
      <alignment horizontal="center"/>
    </xf>
    <xf numFmtId="167" fontId="3" fillId="2" borderId="24" xfId="0" applyNumberFormat="1" applyFont="1" applyFill="1" applyBorder="1" applyAlignment="1">
      <alignment horizontal="center"/>
    </xf>
    <xf numFmtId="167" fontId="3" fillId="2" borderId="25" xfId="0" applyNumberFormat="1" applyFont="1" applyFill="1" applyBorder="1" applyAlignment="1">
      <alignment horizontal="center"/>
    </xf>
    <xf numFmtId="0" fontId="3" fillId="6" borderId="9" xfId="0" applyFont="1" applyFill="1" applyBorder="1" applyAlignment="1">
      <alignment horizontal="left"/>
    </xf>
    <xf numFmtId="0" fontId="5" fillId="8" borderId="9" xfId="0" applyFont="1" applyFill="1" applyBorder="1" applyAlignment="1">
      <alignment horizontal="centerContinuous"/>
    </xf>
    <xf numFmtId="0" fontId="11" fillId="8" borderId="9" xfId="0" applyFont="1" applyFill="1" applyBorder="1" applyAlignment="1">
      <alignment horizontal="centerContinuous"/>
    </xf>
    <xf numFmtId="167" fontId="4" fillId="6" borderId="9" xfId="0" applyNumberFormat="1" applyFont="1" applyFill="1" applyBorder="1" applyAlignment="1">
      <alignment horizontal="center"/>
    </xf>
    <xf numFmtId="167" fontId="4" fillId="3" borderId="9" xfId="0" applyNumberFormat="1" applyFont="1" applyFill="1" applyBorder="1" applyAlignment="1">
      <alignment horizontal="center"/>
    </xf>
    <xf numFmtId="0" fontId="4" fillId="2" borderId="9" xfId="3" applyNumberFormat="1" applyFont="1" applyFill="1" applyBorder="1" applyAlignment="1">
      <alignment horizontal="center"/>
    </xf>
    <xf numFmtId="9" fontId="4" fillId="2" borderId="9" xfId="3" applyFont="1" applyFill="1" applyBorder="1" applyAlignment="1">
      <alignment horizontal="center"/>
    </xf>
    <xf numFmtId="9" fontId="3" fillId="3" borderId="9" xfId="3" applyFont="1" applyFill="1" applyBorder="1" applyAlignment="1">
      <alignment horizontal="center"/>
    </xf>
    <xf numFmtId="0" fontId="11" fillId="8" borderId="9" xfId="0" applyFont="1" applyFill="1" applyBorder="1"/>
    <xf numFmtId="167" fontId="4" fillId="2" borderId="9" xfId="0" applyNumberFormat="1" applyFont="1" applyFill="1" applyBorder="1" applyAlignment="1">
      <alignment horizontal="center"/>
    </xf>
    <xf numFmtId="0" fontId="3" fillId="0" borderId="9" xfId="0" applyFont="1" applyBorder="1" applyAlignment="1">
      <alignment horizontal="center"/>
    </xf>
    <xf numFmtId="167" fontId="3" fillId="2" borderId="9" xfId="1" applyNumberFormat="1" applyFont="1" applyFill="1" applyBorder="1" applyAlignment="1">
      <alignment horizontal="center"/>
    </xf>
    <xf numFmtId="167" fontId="3" fillId="6" borderId="9" xfId="1" applyNumberFormat="1" applyFont="1" applyFill="1" applyBorder="1" applyAlignment="1">
      <alignment horizontal="center"/>
    </xf>
    <xf numFmtId="0" fontId="0" fillId="0" borderId="9" xfId="0" applyBorder="1"/>
    <xf numFmtId="0" fontId="3" fillId="0" borderId="9" xfId="0" applyFont="1" applyBorder="1" applyAlignment="1">
      <alignment horizontal="right" indent="1"/>
    </xf>
    <xf numFmtId="0" fontId="3" fillId="0" borderId="9" xfId="0" applyFont="1" applyBorder="1" applyAlignment="1">
      <alignment horizontal="centerContinuous"/>
    </xf>
    <xf numFmtId="44" fontId="3" fillId="3" borderId="9" xfId="1" applyFont="1" applyFill="1" applyBorder="1" applyAlignment="1">
      <alignment horizontal="center"/>
    </xf>
    <xf numFmtId="44" fontId="3" fillId="11" borderId="9" xfId="1" applyFont="1" applyFill="1" applyBorder="1" applyAlignment="1">
      <alignment horizontal="center"/>
    </xf>
    <xf numFmtId="44" fontId="3" fillId="9" borderId="9" xfId="1" applyFont="1" applyFill="1" applyBorder="1" applyAlignment="1">
      <alignment horizontal="center"/>
    </xf>
    <xf numFmtId="44" fontId="3" fillId="6" borderId="9" xfId="1" applyFont="1" applyFill="1" applyBorder="1" applyAlignment="1">
      <alignment horizontal="center"/>
    </xf>
    <xf numFmtId="0" fontId="3" fillId="17" borderId="9" xfId="0" applyFont="1" applyFill="1" applyBorder="1" applyAlignment="1">
      <alignment horizontal="centerContinuous"/>
    </xf>
    <xf numFmtId="0" fontId="3" fillId="17" borderId="9" xfId="0" applyFont="1" applyFill="1" applyBorder="1" applyAlignment="1">
      <alignment horizontal="center"/>
    </xf>
    <xf numFmtId="0" fontId="11" fillId="0" borderId="9" xfId="0" applyFont="1" applyBorder="1" applyAlignment="1">
      <alignment horizontal="center"/>
    </xf>
    <xf numFmtId="8" fontId="3" fillId="6" borderId="9" xfId="0" applyNumberFormat="1" applyFont="1" applyFill="1" applyBorder="1"/>
    <xf numFmtId="167" fontId="3" fillId="3" borderId="9" xfId="1" applyNumberFormat="1" applyFont="1" applyFill="1" applyBorder="1"/>
    <xf numFmtId="167" fontId="3" fillId="11" borderId="9" xfId="1" applyNumberFormat="1" applyFont="1" applyFill="1" applyBorder="1"/>
    <xf numFmtId="167" fontId="3" fillId="9" borderId="9" xfId="1" applyNumberFormat="1" applyFont="1" applyFill="1" applyBorder="1"/>
    <xf numFmtId="0" fontId="4" fillId="6" borderId="9" xfId="0" applyFont="1" applyFill="1" applyBorder="1"/>
    <xf numFmtId="165" fontId="4" fillId="6" borderId="9" xfId="3" applyNumberFormat="1" applyFont="1" applyFill="1" applyBorder="1"/>
    <xf numFmtId="0" fontId="5" fillId="18" borderId="9" xfId="0" applyFont="1" applyFill="1" applyBorder="1"/>
    <xf numFmtId="0" fontId="3" fillId="10" borderId="0" xfId="0" applyFont="1" applyFill="1"/>
    <xf numFmtId="8" fontId="3" fillId="2" borderId="9" xfId="0" applyNumberFormat="1" applyFont="1" applyFill="1" applyBorder="1"/>
    <xf numFmtId="0" fontId="27" fillId="12" borderId="0" xfId="0" applyFont="1" applyFill="1"/>
    <xf numFmtId="0" fontId="0" fillId="19" borderId="0" xfId="0" applyFill="1"/>
    <xf numFmtId="0" fontId="0" fillId="16" borderId="0" xfId="0" applyFill="1"/>
    <xf numFmtId="0" fontId="0" fillId="8" borderId="0" xfId="0" applyFill="1"/>
    <xf numFmtId="14" fontId="0" fillId="12" borderId="0" xfId="0" applyNumberFormat="1" applyFill="1"/>
    <xf numFmtId="0" fontId="0" fillId="20" borderId="0" xfId="0" applyFill="1"/>
    <xf numFmtId="9" fontId="3" fillId="12" borderId="0" xfId="0" applyNumberFormat="1" applyFont="1" applyFill="1"/>
    <xf numFmtId="9" fontId="12" fillId="12" borderId="0" xfId="0" applyNumberFormat="1" applyFont="1" applyFill="1"/>
    <xf numFmtId="167" fontId="12" fillId="12" borderId="0" xfId="0" applyNumberFormat="1" applyFont="1" applyFill="1"/>
    <xf numFmtId="0" fontId="4" fillId="6" borderId="9" xfId="0" applyFont="1" applyFill="1" applyBorder="1" applyAlignment="1">
      <alignment horizontal="center"/>
    </xf>
    <xf numFmtId="174" fontId="5" fillId="6" borderId="9" xfId="3" applyNumberFormat="1" applyFont="1" applyFill="1" applyBorder="1" applyAlignment="1">
      <alignment horizontal="center"/>
    </xf>
    <xf numFmtId="10" fontId="1" fillId="12" borderId="0" xfId="3" applyNumberFormat="1" applyFont="1" applyFill="1"/>
    <xf numFmtId="17" fontId="0" fillId="0" borderId="0" xfId="0" applyNumberFormat="1"/>
    <xf numFmtId="2" fontId="0" fillId="0" borderId="0" xfId="0" applyNumberFormat="1"/>
    <xf numFmtId="0" fontId="32" fillId="12" borderId="0" xfId="0" applyFont="1" applyFill="1"/>
    <xf numFmtId="0" fontId="30" fillId="12" borderId="0" xfId="0" applyFont="1" applyFill="1"/>
    <xf numFmtId="2" fontId="30" fillId="12" borderId="0" xfId="0" applyNumberFormat="1" applyFont="1" applyFill="1"/>
    <xf numFmtId="175" fontId="30" fillId="12" borderId="0" xfId="0" applyNumberFormat="1" applyFont="1" applyFill="1"/>
    <xf numFmtId="44" fontId="12" fillId="12" borderId="0" xfId="1" quotePrefix="1" applyFont="1" applyFill="1" applyBorder="1" applyAlignment="1">
      <alignment horizontal="left" vertical="center"/>
    </xf>
    <xf numFmtId="0" fontId="30" fillId="0" borderId="0" xfId="0" applyFont="1"/>
    <xf numFmtId="0" fontId="27" fillId="12" borderId="0" xfId="0" applyFont="1" applyFill="1" applyAlignment="1">
      <alignment wrapText="1"/>
    </xf>
    <xf numFmtId="0" fontId="27" fillId="12" borderId="49" xfId="0" applyFont="1" applyFill="1" applyBorder="1"/>
    <xf numFmtId="0" fontId="27" fillId="12" borderId="50" xfId="0" applyFont="1" applyFill="1" applyBorder="1"/>
    <xf numFmtId="0" fontId="12" fillId="12" borderId="50" xfId="0" applyFont="1" applyFill="1" applyBorder="1"/>
    <xf numFmtId="0" fontId="27" fillId="12" borderId="41" xfId="0" applyFont="1" applyFill="1" applyBorder="1"/>
    <xf numFmtId="0" fontId="5" fillId="12" borderId="69" xfId="0" applyFont="1" applyFill="1" applyBorder="1"/>
    <xf numFmtId="0" fontId="5" fillId="12" borderId="41" xfId="0" applyFont="1" applyFill="1" applyBorder="1"/>
    <xf numFmtId="0" fontId="3" fillId="12" borderId="0" xfId="0" applyFont="1" applyFill="1" applyAlignment="1">
      <alignment horizontal="left" indent="1"/>
    </xf>
    <xf numFmtId="176" fontId="3" fillId="2" borderId="2" xfId="1" applyNumberFormat="1" applyFont="1" applyFill="1" applyBorder="1" applyAlignment="1">
      <alignment horizontal="center"/>
    </xf>
    <xf numFmtId="0" fontId="3" fillId="12" borderId="55" xfId="0" applyFont="1" applyFill="1" applyBorder="1"/>
    <xf numFmtId="0" fontId="3" fillId="12" borderId="46" xfId="0" applyFont="1" applyFill="1" applyBorder="1"/>
    <xf numFmtId="0" fontId="3" fillId="12" borderId="50" xfId="0" applyFont="1" applyFill="1" applyBorder="1"/>
    <xf numFmtId="0" fontId="3" fillId="12" borderId="47" xfId="0" applyFont="1" applyFill="1" applyBorder="1"/>
    <xf numFmtId="0" fontId="3" fillId="12" borderId="26" xfId="0" applyFont="1" applyFill="1" applyBorder="1"/>
    <xf numFmtId="0" fontId="19" fillId="19" borderId="0" xfId="0" applyFont="1" applyFill="1"/>
    <xf numFmtId="0" fontId="19" fillId="0" borderId="0" xfId="0" applyFont="1"/>
    <xf numFmtId="0" fontId="19" fillId="16" borderId="0" xfId="0" applyFont="1" applyFill="1"/>
    <xf numFmtId="0" fontId="7" fillId="0" borderId="0" xfId="0" applyFont="1" applyAlignment="1">
      <alignment wrapText="1"/>
    </xf>
    <xf numFmtId="0" fontId="30" fillId="0" borderId="0" xfId="0" applyFont="1" applyAlignment="1">
      <alignment wrapText="1"/>
    </xf>
    <xf numFmtId="0" fontId="11" fillId="12" borderId="50" xfId="0" applyFont="1" applyFill="1" applyBorder="1"/>
    <xf numFmtId="0" fontId="11" fillId="12" borderId="0" xfId="0" applyFont="1" applyFill="1"/>
    <xf numFmtId="0" fontId="11" fillId="12" borderId="47" xfId="0" applyFont="1" applyFill="1" applyBorder="1"/>
    <xf numFmtId="0" fontId="11" fillId="12" borderId="50" xfId="0" applyFont="1" applyFill="1" applyBorder="1" applyAlignment="1">
      <alignment horizontal="left" indent="1"/>
    </xf>
    <xf numFmtId="0" fontId="11" fillId="12" borderId="0" xfId="0" applyFont="1" applyFill="1" applyAlignment="1">
      <alignment horizontal="left" indent="1"/>
    </xf>
    <xf numFmtId="0" fontId="11" fillId="12" borderId="47" xfId="0" applyFont="1" applyFill="1" applyBorder="1" applyAlignment="1">
      <alignment horizontal="left" indent="1"/>
    </xf>
    <xf numFmtId="0" fontId="11" fillId="12" borderId="50" xfId="0" applyFont="1" applyFill="1" applyBorder="1" applyAlignment="1">
      <alignment horizontal="left"/>
    </xf>
    <xf numFmtId="0" fontId="4" fillId="12" borderId="47" xfId="0" applyFont="1" applyFill="1" applyBorder="1"/>
    <xf numFmtId="0" fontId="5" fillId="0" borderId="2" xfId="0" applyFont="1" applyBorder="1" applyAlignment="1">
      <alignment horizontal="center" vertical="center"/>
    </xf>
    <xf numFmtId="0" fontId="5" fillId="0" borderId="10" xfId="0" applyFont="1" applyBorder="1" applyAlignment="1">
      <alignment horizontal="left"/>
    </xf>
    <xf numFmtId="0" fontId="5" fillId="0" borderId="12" xfId="0" applyFont="1" applyBorder="1" applyAlignment="1">
      <alignment horizontal="left"/>
    </xf>
    <xf numFmtId="0" fontId="5" fillId="0" borderId="9" xfId="0" applyFont="1" applyBorder="1" applyAlignment="1">
      <alignment horizontal="center"/>
    </xf>
    <xf numFmtId="0" fontId="5" fillId="0" borderId="2" xfId="0" applyFont="1" applyBorder="1" applyAlignment="1">
      <alignment horizontal="center" vertical="center" wrapText="1"/>
    </xf>
    <xf numFmtId="44" fontId="11" fillId="8" borderId="2" xfId="1" applyFont="1" applyFill="1" applyBorder="1" applyAlignment="1">
      <alignment horizontal="center" vertical="center" wrapText="1"/>
    </xf>
    <xf numFmtId="2" fontId="11" fillId="0" borderId="2" xfId="0" applyNumberFormat="1" applyFont="1" applyBorder="1" applyAlignment="1">
      <alignment horizontal="center" vertical="center"/>
    </xf>
    <xf numFmtId="0" fontId="6" fillId="12" borderId="0" xfId="4" applyFill="1"/>
    <xf numFmtId="0" fontId="11" fillId="8" borderId="9" xfId="0" applyFont="1" applyFill="1" applyBorder="1" applyAlignment="1">
      <alignment horizont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5" fillId="0" borderId="10" xfId="0" applyFont="1" applyBorder="1" applyAlignment="1">
      <alignment horizontal="left"/>
    </xf>
    <xf numFmtId="0" fontId="5" fillId="0" borderId="12" xfId="0" applyFont="1" applyBorder="1" applyAlignment="1">
      <alignment horizontal="left"/>
    </xf>
    <xf numFmtId="0" fontId="5" fillId="0" borderId="9" xfId="0" applyFont="1" applyBorder="1" applyAlignment="1">
      <alignment horizontal="center"/>
    </xf>
    <xf numFmtId="0" fontId="4" fillId="0" borderId="29" xfId="0" applyFont="1" applyBorder="1" applyAlignment="1">
      <alignment horizontal="left" vertical="center" wrapText="1"/>
    </xf>
    <xf numFmtId="0" fontId="4" fillId="0" borderId="27" xfId="0" applyFont="1" applyBorder="1" applyAlignment="1">
      <alignment horizontal="left" vertical="center" wrapText="1"/>
    </xf>
    <xf numFmtId="0" fontId="4" fillId="0" borderId="30" xfId="0" applyFont="1" applyBorder="1" applyAlignment="1">
      <alignment horizontal="left" vertical="center" wrapText="1"/>
    </xf>
    <xf numFmtId="0" fontId="4" fillId="0" borderId="28" xfId="0" applyFont="1" applyBorder="1" applyAlignment="1">
      <alignment horizontal="left" vertical="center" wrapText="1"/>
    </xf>
    <xf numFmtId="0" fontId="4" fillId="0" borderId="31" xfId="0" applyFont="1" applyBorder="1" applyAlignment="1">
      <alignment horizontal="left" vertical="center" wrapText="1"/>
    </xf>
    <xf numFmtId="0" fontId="4" fillId="0" borderId="17" xfId="0" applyFont="1" applyBorder="1" applyAlignment="1">
      <alignment horizontal="left" vertical="center" wrapText="1"/>
    </xf>
    <xf numFmtId="0" fontId="11" fillId="12" borderId="50" xfId="0" applyFont="1" applyFill="1" applyBorder="1" applyAlignment="1">
      <alignment horizontal="left" wrapText="1" indent="1"/>
    </xf>
    <xf numFmtId="0" fontId="11" fillId="12" borderId="0" xfId="0" applyFont="1" applyFill="1" applyAlignment="1">
      <alignment horizontal="left" wrapText="1" indent="1"/>
    </xf>
    <xf numFmtId="0" fontId="11" fillId="12" borderId="47" xfId="0" applyFont="1" applyFill="1" applyBorder="1" applyAlignment="1">
      <alignment horizontal="left" wrapText="1" indent="1"/>
    </xf>
    <xf numFmtId="0" fontId="11" fillId="12" borderId="50" xfId="0" applyFont="1" applyFill="1" applyBorder="1" applyAlignment="1">
      <alignment horizontal="left" wrapText="1"/>
    </xf>
    <xf numFmtId="0" fontId="11" fillId="12" borderId="0" xfId="0" applyFont="1" applyFill="1" applyAlignment="1">
      <alignment horizontal="left" wrapText="1"/>
    </xf>
    <xf numFmtId="0" fontId="11" fillId="12" borderId="47" xfId="0" applyFont="1" applyFill="1" applyBorder="1" applyAlignment="1">
      <alignment horizontal="left" wrapText="1"/>
    </xf>
    <xf numFmtId="0" fontId="4" fillId="0" borderId="9" xfId="0" applyFont="1" applyBorder="1" applyAlignment="1">
      <alignment horizontal="left" vertical="top" wrapText="1"/>
    </xf>
    <xf numFmtId="0" fontId="5" fillId="12" borderId="11" xfId="0" applyFont="1" applyFill="1" applyBorder="1" applyAlignment="1">
      <alignment horizontal="center"/>
    </xf>
    <xf numFmtId="0" fontId="31" fillId="12" borderId="0" xfId="0" applyFont="1" applyFill="1" applyAlignment="1">
      <alignment horizontal="left" wrapText="1"/>
    </xf>
    <xf numFmtId="0" fontId="5" fillId="12" borderId="16" xfId="0" applyFont="1" applyFill="1" applyBorder="1" applyAlignment="1">
      <alignment horizontal="center"/>
    </xf>
    <xf numFmtId="0" fontId="5" fillId="12" borderId="17" xfId="0" applyFont="1" applyFill="1" applyBorder="1" applyAlignment="1">
      <alignment horizontal="center"/>
    </xf>
    <xf numFmtId="0" fontId="3" fillId="12" borderId="0" xfId="0" applyFont="1" applyFill="1" applyAlignment="1">
      <alignment horizontal="center"/>
    </xf>
    <xf numFmtId="0" fontId="5" fillId="0" borderId="2" xfId="0" applyFont="1" applyBorder="1" applyAlignment="1">
      <alignment horizontal="center" vertical="center" wrapText="1"/>
    </xf>
    <xf numFmtId="44" fontId="11" fillId="8" borderId="7" xfId="1" applyFont="1" applyFill="1" applyBorder="1" applyAlignment="1">
      <alignment horizontal="center" vertical="center" wrapText="1"/>
    </xf>
    <xf numFmtId="44" fontId="11" fillId="8" borderId="8" xfId="1" applyFont="1" applyFill="1" applyBorder="1" applyAlignment="1">
      <alignment horizontal="center" vertical="center" wrapText="1"/>
    </xf>
    <xf numFmtId="44" fontId="11" fillId="8" borderId="2" xfId="1" applyFont="1" applyFill="1" applyBorder="1" applyAlignment="1">
      <alignment horizontal="center" vertical="center" wrapText="1"/>
    </xf>
    <xf numFmtId="0" fontId="5" fillId="4" borderId="13" xfId="0" applyFont="1" applyFill="1" applyBorder="1" applyAlignment="1">
      <alignment horizontal="center" vertical="center" textRotation="180"/>
    </xf>
    <xf numFmtId="0" fontId="5" fillId="4" borderId="14" xfId="0" applyFont="1" applyFill="1" applyBorder="1" applyAlignment="1">
      <alignment horizontal="center" vertical="center" textRotation="180"/>
    </xf>
    <xf numFmtId="0" fontId="5" fillId="4" borderId="15" xfId="0" applyFont="1" applyFill="1" applyBorder="1" applyAlignment="1">
      <alignment horizontal="center" vertical="center" textRotation="180"/>
    </xf>
    <xf numFmtId="0" fontId="5" fillId="7" borderId="13" xfId="0" applyFont="1" applyFill="1" applyBorder="1" applyAlignment="1">
      <alignment horizontal="center" vertical="center" textRotation="180"/>
    </xf>
    <xf numFmtId="0" fontId="5" fillId="7" borderId="14" xfId="0" applyFont="1" applyFill="1" applyBorder="1" applyAlignment="1">
      <alignment horizontal="center" vertical="center" textRotation="180"/>
    </xf>
    <xf numFmtId="0" fontId="5" fillId="7" borderId="15" xfId="0" applyFont="1" applyFill="1" applyBorder="1" applyAlignment="1">
      <alignment horizontal="center" vertical="center" textRotation="180"/>
    </xf>
    <xf numFmtId="0" fontId="5" fillId="5" borderId="13" xfId="0" applyFont="1" applyFill="1" applyBorder="1" applyAlignment="1">
      <alignment horizontal="center" vertical="center" textRotation="180"/>
    </xf>
    <xf numFmtId="0" fontId="5" fillId="5" borderId="14" xfId="0" applyFont="1" applyFill="1" applyBorder="1" applyAlignment="1">
      <alignment horizontal="center" vertical="center" textRotation="180"/>
    </xf>
    <xf numFmtId="0" fontId="5" fillId="5" borderId="15" xfId="0" applyFont="1" applyFill="1" applyBorder="1" applyAlignment="1">
      <alignment horizontal="center" vertical="center" textRotation="180"/>
    </xf>
    <xf numFmtId="44" fontId="11" fillId="8" borderId="4" xfId="1" applyFont="1" applyFill="1" applyBorder="1" applyAlignment="1">
      <alignment horizontal="center" vertical="center" wrapText="1"/>
    </xf>
    <xf numFmtId="44" fontId="11" fillId="8" borderId="38" xfId="1" applyFont="1" applyFill="1" applyBorder="1" applyAlignment="1">
      <alignment horizontal="center" vertical="center" wrapText="1"/>
    </xf>
    <xf numFmtId="2" fontId="11" fillId="0" borderId="2" xfId="0" applyNumberFormat="1" applyFont="1" applyBorder="1" applyAlignment="1">
      <alignment horizontal="center" vertical="center"/>
    </xf>
    <xf numFmtId="0" fontId="3" fillId="12" borderId="52" xfId="0" applyFont="1" applyFill="1" applyBorder="1" applyAlignment="1">
      <alignment horizontal="center" vertical="center"/>
    </xf>
    <xf numFmtId="0" fontId="3" fillId="12" borderId="53" xfId="0" applyFont="1" applyFill="1" applyBorder="1" applyAlignment="1">
      <alignment horizontal="center" vertical="center"/>
    </xf>
    <xf numFmtId="0" fontId="3" fillId="12" borderId="54" xfId="0" applyFont="1" applyFill="1" applyBorder="1" applyAlignment="1">
      <alignment horizontal="center" vertical="center"/>
    </xf>
    <xf numFmtId="2" fontId="4" fillId="0" borderId="2" xfId="0" quotePrefix="1" applyNumberFormat="1" applyFont="1" applyBorder="1" applyAlignment="1">
      <alignment horizontal="center" vertical="center"/>
    </xf>
    <xf numFmtId="0" fontId="5" fillId="8" borderId="2" xfId="0" applyFont="1" applyFill="1" applyBorder="1" applyAlignment="1">
      <alignment horizontal="left" vertical="center" wrapText="1"/>
    </xf>
    <xf numFmtId="0" fontId="3" fillId="0" borderId="13" xfId="0" applyFont="1" applyBorder="1" applyAlignment="1">
      <alignment horizontal="left" vertical="top"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4" fillId="0" borderId="4" xfId="4" applyFont="1" applyBorder="1" applyAlignment="1">
      <alignment horizontal="left" vertical="top" wrapText="1"/>
    </xf>
    <xf numFmtId="0" fontId="4" fillId="0" borderId="3" xfId="4" applyFont="1" applyBorder="1" applyAlignment="1">
      <alignment horizontal="left" vertical="top" wrapText="1"/>
    </xf>
    <xf numFmtId="0" fontId="4" fillId="0" borderId="38" xfId="4" applyFont="1" applyBorder="1" applyAlignment="1">
      <alignment horizontal="left" vertical="top" wrapText="1"/>
    </xf>
    <xf numFmtId="0" fontId="10" fillId="0" borderId="15" xfId="4" applyFont="1" applyBorder="1" applyAlignment="1">
      <alignment horizontal="left" vertical="top" wrapText="1"/>
    </xf>
    <xf numFmtId="0" fontId="6" fillId="0" borderId="15" xfId="4" applyBorder="1"/>
    <xf numFmtId="0" fontId="8" fillId="12" borderId="0" xfId="4" applyFont="1" applyFill="1" applyAlignment="1">
      <alignment horizontal="left"/>
    </xf>
    <xf numFmtId="0" fontId="6" fillId="12" borderId="0" xfId="4" applyFill="1"/>
    <xf numFmtId="0" fontId="14" fillId="0" borderId="10" xfId="5" applyFill="1" applyBorder="1" applyAlignment="1">
      <alignment horizontal="left"/>
    </xf>
    <xf numFmtId="0" fontId="28" fillId="0" borderId="11" xfId="5" applyFont="1" applyFill="1" applyBorder="1" applyAlignment="1">
      <alignment horizontal="left"/>
    </xf>
    <xf numFmtId="0" fontId="28" fillId="0" borderId="12" xfId="5" applyFont="1" applyFill="1" applyBorder="1" applyAlignment="1">
      <alignment horizontal="left"/>
    </xf>
    <xf numFmtId="0" fontId="27" fillId="12" borderId="30" xfId="0" applyFont="1" applyFill="1" applyBorder="1" applyAlignment="1">
      <alignment horizontal="center" wrapText="1"/>
    </xf>
    <xf numFmtId="0" fontId="27" fillId="12" borderId="0" xfId="0" applyFont="1" applyFill="1" applyAlignment="1">
      <alignment horizontal="center" wrapText="1"/>
    </xf>
    <xf numFmtId="0" fontId="5" fillId="8" borderId="9" xfId="0" applyFont="1" applyFill="1" applyBorder="1" applyAlignment="1">
      <alignment horizontal="center"/>
    </xf>
    <xf numFmtId="0" fontId="11" fillId="8" borderId="9" xfId="0" applyFont="1" applyFill="1" applyBorder="1" applyAlignment="1">
      <alignment horizontal="center"/>
    </xf>
    <xf numFmtId="0" fontId="3" fillId="12" borderId="0" xfId="0" applyFont="1" applyFill="1" applyAlignment="1">
      <alignment horizontal="left" vertical="top" wrapText="1"/>
    </xf>
    <xf numFmtId="0" fontId="11" fillId="8" borderId="13" xfId="0" applyFont="1" applyFill="1" applyBorder="1" applyAlignment="1">
      <alignment horizontal="center"/>
    </xf>
    <xf numFmtId="0" fontId="11" fillId="8" borderId="15" xfId="0" applyFont="1" applyFill="1" applyBorder="1" applyAlignment="1">
      <alignment horizontal="center"/>
    </xf>
    <xf numFmtId="0" fontId="11" fillId="10" borderId="56" xfId="0" applyFont="1" applyFill="1" applyBorder="1" applyAlignment="1">
      <alignment horizontal="center"/>
    </xf>
    <xf numFmtId="0" fontId="11" fillId="10" borderId="57" xfId="0" applyFont="1" applyFill="1" applyBorder="1" applyAlignment="1">
      <alignment horizontal="center"/>
    </xf>
    <xf numFmtId="0" fontId="11" fillId="10" borderId="58" xfId="0" applyFont="1" applyFill="1" applyBorder="1" applyAlignment="1">
      <alignment horizontal="center"/>
    </xf>
    <xf numFmtId="0" fontId="7" fillId="10" borderId="7" xfId="0" applyFont="1" applyFill="1" applyBorder="1" applyAlignment="1">
      <alignment horizontal="center"/>
    </xf>
    <xf numFmtId="0" fontId="7" fillId="10" borderId="59" xfId="0" applyFont="1" applyFill="1" applyBorder="1" applyAlignment="1">
      <alignment horizontal="center"/>
    </xf>
    <xf numFmtId="0" fontId="7" fillId="10" borderId="8" xfId="0" applyFont="1" applyFill="1" applyBorder="1" applyAlignment="1">
      <alignment horizontal="center"/>
    </xf>
    <xf numFmtId="0" fontId="5" fillId="10" borderId="31" xfId="0" applyFont="1" applyFill="1" applyBorder="1" applyAlignment="1">
      <alignment horizontal="center"/>
    </xf>
    <xf numFmtId="0" fontId="5" fillId="10" borderId="16" xfId="0" applyFont="1" applyFill="1" applyBorder="1" applyAlignment="1">
      <alignment horizontal="center"/>
    </xf>
    <xf numFmtId="0" fontId="5" fillId="10" borderId="11" xfId="0" applyFont="1" applyFill="1" applyBorder="1" applyAlignment="1">
      <alignment horizontal="center"/>
    </xf>
    <xf numFmtId="0" fontId="5" fillId="10" borderId="12" xfId="0" applyFont="1" applyFill="1" applyBorder="1" applyAlignment="1">
      <alignment horizontal="center"/>
    </xf>
    <xf numFmtId="0" fontId="5" fillId="10" borderId="10" xfId="0" applyFont="1" applyFill="1" applyBorder="1" applyAlignment="1">
      <alignment horizontal="center"/>
    </xf>
    <xf numFmtId="0" fontId="5" fillId="8" borderId="9" xfId="0" applyFont="1" applyFill="1" applyBorder="1" applyAlignment="1">
      <alignment horizontal="center" vertical="center" wrapText="1"/>
    </xf>
    <xf numFmtId="0" fontId="20" fillId="0" borderId="37" xfId="0" applyFont="1" applyBorder="1" applyAlignment="1">
      <alignment horizontal="center"/>
    </xf>
    <xf numFmtId="0" fontId="20" fillId="0" borderId="36" xfId="0" applyFont="1" applyBorder="1" applyAlignment="1">
      <alignment horizontal="center"/>
    </xf>
    <xf numFmtId="0" fontId="20" fillId="0" borderId="35" xfId="0" applyFont="1" applyBorder="1" applyAlignment="1">
      <alignment horizontal="center"/>
    </xf>
    <xf numFmtId="0" fontId="13" fillId="0" borderId="9" xfId="0" applyFont="1" applyBorder="1" applyAlignment="1">
      <alignment horizontal="center" vertical="center"/>
    </xf>
    <xf numFmtId="0" fontId="11" fillId="0" borderId="9" xfId="0" applyFont="1" applyBorder="1" applyAlignment="1">
      <alignment horizontal="center" vertical="center"/>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19" xfId="0" applyFont="1" applyBorder="1" applyAlignment="1">
      <alignment horizontal="center"/>
    </xf>
    <xf numFmtId="0" fontId="5" fillId="0" borderId="20" xfId="0" applyFont="1" applyBorder="1" applyAlignment="1">
      <alignment horizontal="center"/>
    </xf>
    <xf numFmtId="0" fontId="5" fillId="0" borderId="37" xfId="0" applyFont="1" applyBorder="1" applyAlignment="1">
      <alignment horizontal="center"/>
    </xf>
    <xf numFmtId="0" fontId="5" fillId="0" borderId="36" xfId="0" applyFont="1" applyBorder="1" applyAlignment="1">
      <alignment horizontal="center"/>
    </xf>
    <xf numFmtId="0" fontId="5" fillId="0" borderId="35" xfId="0" applyFont="1" applyBorder="1" applyAlignment="1">
      <alignment horizontal="center"/>
    </xf>
    <xf numFmtId="0" fontId="11" fillId="0" borderId="44" xfId="0" applyFont="1" applyBorder="1" applyAlignment="1">
      <alignment horizontal="center"/>
    </xf>
    <xf numFmtId="0" fontId="11" fillId="0" borderId="42" xfId="0" applyFont="1" applyBorder="1" applyAlignment="1">
      <alignment horizontal="center"/>
    </xf>
    <xf numFmtId="0" fontId="0" fillId="0" borderId="9" xfId="0" applyBorder="1" applyAlignment="1">
      <alignment horizontal="center" wrapText="1"/>
    </xf>
    <xf numFmtId="0" fontId="0" fillId="17" borderId="9" xfId="0" applyFill="1" applyBorder="1" applyAlignment="1">
      <alignment horizontal="center" wrapText="1"/>
    </xf>
  </cellXfs>
  <cellStyles count="48">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Body: normal cell" xfId="2" xr:uid="{00000000-0005-0000-0000-000000000000}"/>
    <cellStyle name="Calculation" xfId="17" builtinId="22" customBuiltin="1"/>
    <cellStyle name="Check Cell" xfId="19" builtinId="23" customBuiltin="1"/>
    <cellStyle name="Comma" xfId="6" builtinId="3"/>
    <cellStyle name="Currency" xfId="1" builtinId="4"/>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5" builtinId="8"/>
    <cellStyle name="Input" xfId="15" builtinId="20" customBuiltin="1"/>
    <cellStyle name="Linked Cell" xfId="18" builtinId="24" customBuiltin="1"/>
    <cellStyle name="Neutral" xfId="14" builtinId="28" customBuiltin="1"/>
    <cellStyle name="Normal" xfId="0" builtinId="0"/>
    <cellStyle name="Normal 2" xfId="4" xr:uid="{00000000-0005-0000-0000-000003000000}"/>
    <cellStyle name="Note" xfId="21" builtinId="10" customBuiltin="1"/>
    <cellStyle name="Output" xfId="16" builtinId="21" customBuiltin="1"/>
    <cellStyle name="Percent" xfId="3" builtinId="5"/>
    <cellStyle name="Title" xfId="7" builtinId="15" customBuiltin="1"/>
    <cellStyle name="Total" xfId="23" builtinId="25" customBuiltin="1"/>
    <cellStyle name="Warning Text" xfId="20" builtinId="11" customBuiltin="1"/>
  </cellStyles>
  <dxfs count="4">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PY18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(non-LI)'!$C$5:$C$24</c:f>
              <c:numCache>
                <c:formatCode>"$"#,##0.00</c:formatCode>
                <c:ptCount val="20"/>
                <c:pt idx="0">
                  <c:v>87.646265044959051</c:v>
                </c:pt>
                <c:pt idx="1">
                  <c:v>97.284747707590299</c:v>
                </c:pt>
                <c:pt idx="2">
                  <c:v>104.35404223977996</c:v>
                </c:pt>
                <c:pt idx="3">
                  <c:v>102.07997103755693</c:v>
                </c:pt>
                <c:pt idx="4">
                  <c:v>73.853785044523434</c:v>
                </c:pt>
                <c:pt idx="5">
                  <c:v>73.868987295217835</c:v>
                </c:pt>
                <c:pt idx="6">
                  <c:v>76.253378015111821</c:v>
                </c:pt>
                <c:pt idx="7">
                  <c:v>79.14252965970276</c:v>
                </c:pt>
                <c:pt idx="8">
                  <c:v>81.931582500549922</c:v>
                </c:pt>
                <c:pt idx="9">
                  <c:v>84.516854392089215</c:v>
                </c:pt>
                <c:pt idx="10">
                  <c:v>86.081181235321466</c:v>
                </c:pt>
                <c:pt idx="11">
                  <c:v>85.471926709319376</c:v>
                </c:pt>
                <c:pt idx="12">
                  <c:v>85.054189195315658</c:v>
                </c:pt>
                <c:pt idx="13">
                  <c:v>85.479707682739601</c:v>
                </c:pt>
                <c:pt idx="14">
                  <c:v>86.797941778981851</c:v>
                </c:pt>
                <c:pt idx="15">
                  <c:v>88.253494372988698</c:v>
                </c:pt>
                <c:pt idx="16">
                  <c:v>89.750447311801722</c:v>
                </c:pt>
                <c:pt idx="17">
                  <c:v>90.771671891321404</c:v>
                </c:pt>
                <c:pt idx="18">
                  <c:v>91.55629291318408</c:v>
                </c:pt>
                <c:pt idx="19">
                  <c:v>93.381310526331177</c:v>
                </c:pt>
              </c:numCache>
            </c:numRef>
          </c:val>
          <c:smooth val="0"/>
          <c:extLst>
            <c:ext xmlns:c16="http://schemas.microsoft.com/office/drawing/2014/chart" uri="{C3380CC4-5D6E-409C-BE32-E72D297353CC}">
              <c16:uniqueId val="{00000000-293D-4E10-AC49-028C0826F867}"/>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(non-LI)'!$D$5:$D$24</c:f>
              <c:numCache>
                <c:formatCode>"$"#,##0.00</c:formatCode>
                <c:ptCount val="20"/>
                <c:pt idx="0">
                  <c:v>57.862689418295062</c:v>
                </c:pt>
                <c:pt idx="1">
                  <c:v>65.63191001230723</c:v>
                </c:pt>
                <c:pt idx="2">
                  <c:v>73.573526843185803</c:v>
                </c:pt>
                <c:pt idx="3">
                  <c:v>73.27256560228291</c:v>
                </c:pt>
                <c:pt idx="4">
                  <c:v>43.907852442793398</c:v>
                </c:pt>
                <c:pt idx="5">
                  <c:v>43.964724476380887</c:v>
                </c:pt>
                <c:pt idx="6">
                  <c:v>45.654107122545334</c:v>
                </c:pt>
                <c:pt idx="7">
                  <c:v>47.692048713186267</c:v>
                </c:pt>
                <c:pt idx="8">
                  <c:v>49.662021082051282</c:v>
                </c:pt>
                <c:pt idx="9">
                  <c:v>51.492641039859841</c:v>
                </c:pt>
                <c:pt idx="10">
                  <c:v>52.621174113714616</c:v>
                </c:pt>
                <c:pt idx="11">
                  <c:v>52.253857485063904</c:v>
                </c:pt>
                <c:pt idx="12">
                  <c:v>52.019477494894559</c:v>
                </c:pt>
                <c:pt idx="13">
                  <c:v>52.366886357321818</c:v>
                </c:pt>
                <c:pt idx="14">
                  <c:v>53.330166606061503</c:v>
                </c:pt>
                <c:pt idx="15">
                  <c:v>54.389122721346112</c:v>
                </c:pt>
                <c:pt idx="16">
                  <c:v>55.47772119275929</c:v>
                </c:pt>
                <c:pt idx="17">
                  <c:v>56.239855032725217</c:v>
                </c:pt>
                <c:pt idx="18">
                  <c:v>56.840224744224557</c:v>
                </c:pt>
                <c:pt idx="19">
                  <c:v>58.158282074954336</c:v>
                </c:pt>
              </c:numCache>
            </c:numRef>
          </c:val>
          <c:smooth val="0"/>
          <c:extLst>
            <c:ext xmlns:c16="http://schemas.microsoft.com/office/drawing/2014/chart" uri="{C3380CC4-5D6E-409C-BE32-E72D297353CC}">
              <c16:uniqueId val="{00000001-293D-4E10-AC49-028C0826F867}"/>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(non-LI)'!$E$5:$E$24</c:f>
              <c:numCache>
                <c:formatCode>"$"#,##0.00</c:formatCode>
                <c:ptCount val="20"/>
                <c:pt idx="0">
                  <c:v>91.928259820666085</c:v>
                </c:pt>
                <c:pt idx="1">
                  <c:v>104.81025833199377</c:v>
                </c:pt>
                <c:pt idx="2">
                  <c:v>113.31265378345807</c:v>
                </c:pt>
                <c:pt idx="3">
                  <c:v>113.90824601620766</c:v>
                </c:pt>
                <c:pt idx="4">
                  <c:v>81.169224867822734</c:v>
                </c:pt>
                <c:pt idx="5">
                  <c:v>83.732093265613372</c:v>
                </c:pt>
                <c:pt idx="6">
                  <c:v>88.079095456708288</c:v>
                </c:pt>
                <c:pt idx="7">
                  <c:v>93.471194924770529</c:v>
                </c:pt>
                <c:pt idx="8">
                  <c:v>98.520653422665092</c:v>
                </c:pt>
                <c:pt idx="9">
                  <c:v>103.08041583716579</c:v>
                </c:pt>
                <c:pt idx="10">
                  <c:v>106.26257643562121</c:v>
                </c:pt>
                <c:pt idx="11">
                  <c:v>104.53955523637298</c:v>
                </c:pt>
                <c:pt idx="12">
                  <c:v>103.2777271455256</c:v>
                </c:pt>
                <c:pt idx="13">
                  <c:v>104.0628250875676</c:v>
                </c:pt>
                <c:pt idx="14">
                  <c:v>107.01509738211125</c:v>
                </c:pt>
                <c:pt idx="15">
                  <c:v>110.29639098471289</c:v>
                </c:pt>
                <c:pt idx="16">
                  <c:v>113.6732131033452</c:v>
                </c:pt>
                <c:pt idx="17">
                  <c:v>115.88716785957854</c:v>
                </c:pt>
                <c:pt idx="18">
                  <c:v>117.51999402512153</c:v>
                </c:pt>
                <c:pt idx="19">
                  <c:v>121.6788149547281</c:v>
                </c:pt>
              </c:numCache>
            </c:numRef>
          </c:val>
          <c:smooth val="0"/>
          <c:extLst>
            <c:ext xmlns:c16="http://schemas.microsoft.com/office/drawing/2014/chart" uri="{C3380CC4-5D6E-409C-BE32-E72D297353CC}">
              <c16:uniqueId val="{00000002-293D-4E10-AC49-028C0826F867}"/>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(non-LI)'!$F$5:$F$24</c:f>
              <c:numCache>
                <c:formatCode>"$"#,##0.00</c:formatCode>
                <c:ptCount val="20"/>
                <c:pt idx="0">
                  <c:v>79.95113619581052</c:v>
                </c:pt>
                <c:pt idx="1">
                  <c:v>92.123507440347623</c:v>
                </c:pt>
                <c:pt idx="2">
                  <c:v>99.812427732320288</c:v>
                </c:pt>
                <c:pt idx="3">
                  <c:v>99.733008662512987</c:v>
                </c:pt>
                <c:pt idx="4">
                  <c:v>69.062194104912635</c:v>
                </c:pt>
                <c:pt idx="5">
                  <c:v>70.873560431640911</c:v>
                </c:pt>
                <c:pt idx="6">
                  <c:v>73.914529363865398</c:v>
                </c:pt>
                <c:pt idx="7">
                  <c:v>77.676169201749133</c:v>
                </c:pt>
                <c:pt idx="8">
                  <c:v>81.202808965984232</c:v>
                </c:pt>
                <c:pt idx="9">
                  <c:v>84.393195924011735</c:v>
                </c:pt>
                <c:pt idx="10">
                  <c:v>86.635878155135345</c:v>
                </c:pt>
                <c:pt idx="11">
                  <c:v>85.501546871001608</c:v>
                </c:pt>
                <c:pt idx="12">
                  <c:v>84.68586932673395</c:v>
                </c:pt>
                <c:pt idx="13">
                  <c:v>85.280908790909052</c:v>
                </c:pt>
                <c:pt idx="14">
                  <c:v>87.369497666511606</c:v>
                </c:pt>
                <c:pt idx="15">
                  <c:v>89.685781859881985</c:v>
                </c:pt>
                <c:pt idx="16">
                  <c:v>92.068984709346594</c:v>
                </c:pt>
                <c:pt idx="17">
                  <c:v>93.65251278524336</c:v>
                </c:pt>
                <c:pt idx="18">
                  <c:v>94.837013618356096</c:v>
                </c:pt>
                <c:pt idx="19">
                  <c:v>97.762284910266814</c:v>
                </c:pt>
              </c:numCache>
            </c:numRef>
          </c:val>
          <c:smooth val="0"/>
          <c:extLst>
            <c:ext xmlns:c16="http://schemas.microsoft.com/office/drawing/2014/chart" uri="{C3380CC4-5D6E-409C-BE32-E72D297353CC}">
              <c16:uniqueId val="{00000003-293D-4E10-AC49-028C0826F867}"/>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(non-LI)'!$G$5:$G$24</c:f>
              <c:numCache>
                <c:formatCode>"$"#,##0.00</c:formatCode>
                <c:ptCount val="20"/>
                <c:pt idx="0">
                  <c:v>74.122673217963523</c:v>
                </c:pt>
                <c:pt idx="1">
                  <c:v>83.153645708293553</c:v>
                </c:pt>
                <c:pt idx="2">
                  <c:v>89.760817117963526</c:v>
                </c:pt>
                <c:pt idx="3">
                  <c:v>91.230462447613689</c:v>
                </c:pt>
                <c:pt idx="4">
                  <c:v>59.837600195495931</c:v>
                </c:pt>
                <c:pt idx="5">
                  <c:v>60.50130560516255</c:v>
                </c:pt>
                <c:pt idx="6">
                  <c:v>62.91353075092745</c:v>
                </c:pt>
                <c:pt idx="7">
                  <c:v>66.126633394468271</c:v>
                </c:pt>
                <c:pt idx="8">
                  <c:v>69.337733057302913</c:v>
                </c:pt>
                <c:pt idx="9">
                  <c:v>72.077429177743937</c:v>
                </c:pt>
                <c:pt idx="10">
                  <c:v>73.788927663757889</c:v>
                </c:pt>
                <c:pt idx="11">
                  <c:v>73.061660447706672</c:v>
                </c:pt>
                <c:pt idx="12">
                  <c:v>72.554484632116768</c:v>
                </c:pt>
                <c:pt idx="13">
                  <c:v>73.018103504248913</c:v>
                </c:pt>
                <c:pt idx="14">
                  <c:v>74.509477314631226</c:v>
                </c:pt>
                <c:pt idx="15">
                  <c:v>76.158482103727863</c:v>
                </c:pt>
                <c:pt idx="16">
                  <c:v>77.854622560160081</c:v>
                </c:pt>
                <c:pt idx="17">
                  <c:v>79.002226658871592</c:v>
                </c:pt>
                <c:pt idx="18">
                  <c:v>79.87672195433548</c:v>
                </c:pt>
                <c:pt idx="19">
                  <c:v>81.949025120226054</c:v>
                </c:pt>
              </c:numCache>
            </c:numRef>
          </c:val>
          <c:smooth val="0"/>
          <c:extLst>
            <c:ext xmlns:c16="http://schemas.microsoft.com/office/drawing/2014/chart" uri="{C3380CC4-5D6E-409C-BE32-E72D297353CC}">
              <c16:uniqueId val="{00000004-293D-4E10-AC49-028C0826F867}"/>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(non-LI)'!$H$5:$H$24</c:f>
              <c:numCache>
                <c:formatCode>"$"#,##0.00</c:formatCode>
                <c:ptCount val="20"/>
                <c:pt idx="0">
                  <c:v>61.60900214748581</c:v>
                </c:pt>
                <c:pt idx="1">
                  <c:v>70.614012664640569</c:v>
                </c:pt>
                <c:pt idx="2">
                  <c:v>76.182705147299941</c:v>
                </c:pt>
                <c:pt idx="3">
                  <c:v>76.289346885248705</c:v>
                </c:pt>
                <c:pt idx="4">
                  <c:v>47.249285342789619</c:v>
                </c:pt>
                <c:pt idx="5">
                  <c:v>47.752760277152532</c:v>
                </c:pt>
                <c:pt idx="6">
                  <c:v>49.461311581423566</c:v>
                </c:pt>
                <c:pt idx="7">
                  <c:v>51.722347622474587</c:v>
                </c:pt>
                <c:pt idx="8">
                  <c:v>53.982969824505226</c:v>
                </c:pt>
                <c:pt idx="9">
                  <c:v>55.919936694619999</c:v>
                </c:pt>
                <c:pt idx="10">
                  <c:v>57.149822062089441</c:v>
                </c:pt>
                <c:pt idx="11">
                  <c:v>56.701233956229913</c:v>
                </c:pt>
                <c:pt idx="12">
                  <c:v>56.405260734977276</c:v>
                </c:pt>
                <c:pt idx="13">
                  <c:v>56.778908085368613</c:v>
                </c:pt>
                <c:pt idx="14">
                  <c:v>57.861423988560503</c:v>
                </c:pt>
                <c:pt idx="15">
                  <c:v>59.053604299121794</c:v>
                </c:pt>
                <c:pt idx="16">
                  <c:v>60.279376694726778</c:v>
                </c:pt>
                <c:pt idx="17">
                  <c:v>61.128543973294818</c:v>
                </c:pt>
                <c:pt idx="18">
                  <c:v>61.79080715553529</c:v>
                </c:pt>
                <c:pt idx="19">
                  <c:v>63.279161953050149</c:v>
                </c:pt>
              </c:numCache>
            </c:numRef>
          </c:val>
          <c:smooth val="0"/>
          <c:extLst>
            <c:ext xmlns:c16="http://schemas.microsoft.com/office/drawing/2014/chart" uri="{C3380CC4-5D6E-409C-BE32-E72D297353CC}">
              <c16:uniqueId val="{00000005-293D-4E10-AC49-028C0826F867}"/>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PY22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Output'!$C$113:$C$132</c:f>
              <c:numCache>
                <c:formatCode>"$"#,##0.00</c:formatCode>
                <c:ptCount val="20"/>
                <c:pt idx="0">
                  <c:v>0</c:v>
                </c:pt>
                <c:pt idx="1">
                  <c:v>0</c:v>
                </c:pt>
                <c:pt idx="2">
                  <c:v>0</c:v>
                </c:pt>
                <c:pt idx="3">
                  <c:v>0</c:v>
                </c:pt>
                <c:pt idx="4">
                  <c:v>110.21580714052344</c:v>
                </c:pt>
                <c:pt idx="5">
                  <c:v>121.25284983313784</c:v>
                </c:pt>
                <c:pt idx="6">
                  <c:v>131.94691780379023</c:v>
                </c:pt>
                <c:pt idx="7">
                  <c:v>133.29374024415475</c:v>
                </c:pt>
                <c:pt idx="8">
                  <c:v>103.13861729669094</c:v>
                </c:pt>
                <c:pt idx="9">
                  <c:v>106.14802988415305</c:v>
                </c:pt>
                <c:pt idx="10">
                  <c:v>108.14498023722658</c:v>
                </c:pt>
                <c:pt idx="11">
                  <c:v>107.97700169126259</c:v>
                </c:pt>
                <c:pt idx="12">
                  <c:v>108.00936567689774</c:v>
                </c:pt>
                <c:pt idx="13">
                  <c:v>108.89398769395332</c:v>
                </c:pt>
                <c:pt idx="14">
                  <c:v>110.68050739041985</c:v>
                </c:pt>
                <c:pt idx="15">
                  <c:v>112.61371129665545</c:v>
                </c:pt>
                <c:pt idx="16">
                  <c:v>114.59786857394181</c:v>
                </c:pt>
                <c:pt idx="17">
                  <c:v>116.1160415787043</c:v>
                </c:pt>
                <c:pt idx="18">
                  <c:v>117.40754999431464</c:v>
                </c:pt>
                <c:pt idx="19">
                  <c:v>119.74959274908434</c:v>
                </c:pt>
              </c:numCache>
            </c:numRef>
          </c:val>
          <c:smooth val="0"/>
          <c:extLst>
            <c:ext xmlns:c16="http://schemas.microsoft.com/office/drawing/2014/chart" uri="{C3380CC4-5D6E-409C-BE32-E72D297353CC}">
              <c16:uniqueId val="{00000000-91F0-43B1-989E-E9F9AFBDA9B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Output'!$D$113:$D$132</c:f>
              <c:numCache>
                <c:formatCode>"$"#,##0.00</c:formatCode>
                <c:ptCount val="20"/>
                <c:pt idx="0">
                  <c:v>0</c:v>
                </c:pt>
                <c:pt idx="1">
                  <c:v>0</c:v>
                </c:pt>
                <c:pt idx="2">
                  <c:v>0</c:v>
                </c:pt>
                <c:pt idx="3">
                  <c:v>0</c:v>
                </c:pt>
                <c:pt idx="4">
                  <c:v>80.269874538793403</c:v>
                </c:pt>
                <c:pt idx="5">
                  <c:v>91.34858701430089</c:v>
                </c:pt>
                <c:pt idx="6">
                  <c:v>101.34764691122373</c:v>
                </c:pt>
                <c:pt idx="7">
                  <c:v>101.84325929763824</c:v>
                </c:pt>
                <c:pt idx="8">
                  <c:v>70.869055878192299</c:v>
                </c:pt>
                <c:pt idx="9">
                  <c:v>73.12381653192368</c:v>
                </c:pt>
                <c:pt idx="10">
                  <c:v>74.684973115619727</c:v>
                </c:pt>
                <c:pt idx="11">
                  <c:v>74.758932467007128</c:v>
                </c:pt>
                <c:pt idx="12">
                  <c:v>74.974653976476645</c:v>
                </c:pt>
                <c:pt idx="13">
                  <c:v>75.781166368535537</c:v>
                </c:pt>
                <c:pt idx="14">
                  <c:v>77.212732217499507</c:v>
                </c:pt>
                <c:pt idx="15">
                  <c:v>78.749339645012867</c:v>
                </c:pt>
                <c:pt idx="16">
                  <c:v>80.325142454899378</c:v>
                </c:pt>
                <c:pt idx="17">
                  <c:v>81.584224720108111</c:v>
                </c:pt>
                <c:pt idx="18">
                  <c:v>82.691481825355112</c:v>
                </c:pt>
                <c:pt idx="19">
                  <c:v>84.526564297707495</c:v>
                </c:pt>
              </c:numCache>
            </c:numRef>
          </c:val>
          <c:smooth val="0"/>
          <c:extLst>
            <c:ext xmlns:c16="http://schemas.microsoft.com/office/drawing/2014/chart" uri="{C3380CC4-5D6E-409C-BE32-E72D297353CC}">
              <c16:uniqueId val="{00000001-91F0-43B1-989E-E9F9AFBDA9B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Output'!$E$113:$E$132</c:f>
              <c:numCache>
                <c:formatCode>"$"#,##0.00</c:formatCode>
                <c:ptCount val="20"/>
                <c:pt idx="0">
                  <c:v>0</c:v>
                </c:pt>
                <c:pt idx="1">
                  <c:v>0</c:v>
                </c:pt>
                <c:pt idx="2">
                  <c:v>0</c:v>
                </c:pt>
                <c:pt idx="3">
                  <c:v>0</c:v>
                </c:pt>
                <c:pt idx="4">
                  <c:v>117.53124696382274</c:v>
                </c:pt>
                <c:pt idx="5">
                  <c:v>131.11595580353338</c:v>
                </c:pt>
                <c:pt idx="6">
                  <c:v>143.77263524538671</c:v>
                </c:pt>
                <c:pt idx="7">
                  <c:v>147.62240550922252</c:v>
                </c:pt>
                <c:pt idx="8">
                  <c:v>119.72768821880611</c:v>
                </c:pt>
                <c:pt idx="9">
                  <c:v>124.71159132922962</c:v>
                </c:pt>
                <c:pt idx="10">
                  <c:v>128.32637543752634</c:v>
                </c:pt>
                <c:pt idx="11">
                  <c:v>127.0446302183162</c:v>
                </c:pt>
                <c:pt idx="12">
                  <c:v>126.23290362710769</c:v>
                </c:pt>
                <c:pt idx="13">
                  <c:v>127.47710509878132</c:v>
                </c:pt>
                <c:pt idx="14">
                  <c:v>130.89766299354926</c:v>
                </c:pt>
                <c:pt idx="15">
                  <c:v>134.65660790837964</c:v>
                </c:pt>
                <c:pt idx="16">
                  <c:v>138.52063436548531</c:v>
                </c:pt>
                <c:pt idx="17">
                  <c:v>141.23153754696145</c:v>
                </c:pt>
                <c:pt idx="18">
                  <c:v>143.37125110625209</c:v>
                </c:pt>
                <c:pt idx="19">
                  <c:v>148.04709717748125</c:v>
                </c:pt>
              </c:numCache>
            </c:numRef>
          </c:val>
          <c:smooth val="0"/>
          <c:extLst>
            <c:ext xmlns:c16="http://schemas.microsoft.com/office/drawing/2014/chart" uri="{C3380CC4-5D6E-409C-BE32-E72D297353CC}">
              <c16:uniqueId val="{00000002-91F0-43B1-989E-E9F9AFBDA9B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Output'!$F$113:$F$132</c:f>
              <c:numCache>
                <c:formatCode>"$"#,##0.00</c:formatCode>
                <c:ptCount val="20"/>
                <c:pt idx="0">
                  <c:v>0</c:v>
                </c:pt>
                <c:pt idx="1">
                  <c:v>0</c:v>
                </c:pt>
                <c:pt idx="2">
                  <c:v>0</c:v>
                </c:pt>
                <c:pt idx="3">
                  <c:v>0</c:v>
                </c:pt>
                <c:pt idx="4">
                  <c:v>105.42421620091264</c:v>
                </c:pt>
                <c:pt idx="5">
                  <c:v>118.25742296956091</c:v>
                </c:pt>
                <c:pt idx="6">
                  <c:v>129.60806915254381</c:v>
                </c:pt>
                <c:pt idx="7">
                  <c:v>131.82737978620111</c:v>
                </c:pt>
                <c:pt idx="8">
                  <c:v>102.40984376212525</c:v>
                </c:pt>
                <c:pt idx="9">
                  <c:v>106.02437141607557</c:v>
                </c:pt>
                <c:pt idx="10">
                  <c:v>108.69967715704045</c:v>
                </c:pt>
                <c:pt idx="11">
                  <c:v>108.00662185294482</c:v>
                </c:pt>
                <c:pt idx="12">
                  <c:v>107.64104580831604</c:v>
                </c:pt>
                <c:pt idx="13">
                  <c:v>108.69518880212277</c:v>
                </c:pt>
                <c:pt idx="14">
                  <c:v>111.2520632779496</c:v>
                </c:pt>
                <c:pt idx="15">
                  <c:v>114.04599878354874</c:v>
                </c:pt>
                <c:pt idx="16">
                  <c:v>116.91640597148668</c:v>
                </c:pt>
                <c:pt idx="17">
                  <c:v>118.99688247262625</c:v>
                </c:pt>
                <c:pt idx="18">
                  <c:v>120.68827069948665</c:v>
                </c:pt>
                <c:pt idx="19">
                  <c:v>124.13056713301998</c:v>
                </c:pt>
              </c:numCache>
            </c:numRef>
          </c:val>
          <c:smooth val="0"/>
          <c:extLst>
            <c:ext xmlns:c16="http://schemas.microsoft.com/office/drawing/2014/chart" uri="{C3380CC4-5D6E-409C-BE32-E72D297353CC}">
              <c16:uniqueId val="{00000003-91F0-43B1-989E-E9F9AFBDA9B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Output'!$G$113:$G$132</c:f>
              <c:numCache>
                <c:formatCode>"$"#,##0.00</c:formatCode>
                <c:ptCount val="20"/>
                <c:pt idx="0">
                  <c:v>0</c:v>
                </c:pt>
                <c:pt idx="1">
                  <c:v>0</c:v>
                </c:pt>
                <c:pt idx="2">
                  <c:v>0</c:v>
                </c:pt>
                <c:pt idx="3">
                  <c:v>0</c:v>
                </c:pt>
                <c:pt idx="4">
                  <c:v>96.199622291495942</c:v>
                </c:pt>
                <c:pt idx="5">
                  <c:v>107.88516814308255</c:v>
                </c:pt>
                <c:pt idx="6">
                  <c:v>118.60707053960586</c:v>
                </c:pt>
                <c:pt idx="7">
                  <c:v>120.27784397892025</c:v>
                </c:pt>
                <c:pt idx="8">
                  <c:v>90.544767853443929</c:v>
                </c:pt>
                <c:pt idx="9">
                  <c:v>93.708604669807769</c:v>
                </c:pt>
                <c:pt idx="10">
                  <c:v>95.852726665662999</c:v>
                </c:pt>
                <c:pt idx="11">
                  <c:v>95.566735429649896</c:v>
                </c:pt>
                <c:pt idx="12">
                  <c:v>95.509661113698854</c:v>
                </c:pt>
                <c:pt idx="13">
                  <c:v>96.432383515462632</c:v>
                </c:pt>
                <c:pt idx="14">
                  <c:v>98.392042926069223</c:v>
                </c:pt>
                <c:pt idx="15">
                  <c:v>100.51869902739462</c:v>
                </c:pt>
                <c:pt idx="16">
                  <c:v>102.70204382230017</c:v>
                </c:pt>
                <c:pt idx="17">
                  <c:v>104.34659634625449</c:v>
                </c:pt>
                <c:pt idx="18">
                  <c:v>105.72797903546603</c:v>
                </c:pt>
                <c:pt idx="19">
                  <c:v>108.31730734297922</c:v>
                </c:pt>
              </c:numCache>
            </c:numRef>
          </c:val>
          <c:smooth val="0"/>
          <c:extLst>
            <c:ext xmlns:c16="http://schemas.microsoft.com/office/drawing/2014/chart" uri="{C3380CC4-5D6E-409C-BE32-E72D297353CC}">
              <c16:uniqueId val="{00000004-91F0-43B1-989E-E9F9AFBDA9B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Output'!$H$113:$H$132</c:f>
              <c:numCache>
                <c:formatCode>"$"#,##0.00</c:formatCode>
                <c:ptCount val="20"/>
                <c:pt idx="0">
                  <c:v>0</c:v>
                </c:pt>
                <c:pt idx="1">
                  <c:v>0</c:v>
                </c:pt>
                <c:pt idx="2">
                  <c:v>0</c:v>
                </c:pt>
                <c:pt idx="3">
                  <c:v>0</c:v>
                </c:pt>
                <c:pt idx="4">
                  <c:v>83.611307438789623</c:v>
                </c:pt>
                <c:pt idx="5">
                  <c:v>95.136622815072542</c:v>
                </c:pt>
                <c:pt idx="6">
                  <c:v>105.15485137010197</c:v>
                </c:pt>
                <c:pt idx="7">
                  <c:v>105.87355820692656</c:v>
                </c:pt>
                <c:pt idx="8">
                  <c:v>75.190004620646249</c:v>
                </c:pt>
                <c:pt idx="9">
                  <c:v>77.551112186683838</c:v>
                </c:pt>
                <c:pt idx="10">
                  <c:v>79.213621063994552</c:v>
                </c:pt>
                <c:pt idx="11">
                  <c:v>79.206308938173123</c:v>
                </c:pt>
                <c:pt idx="12">
                  <c:v>79.360437216559362</c:v>
                </c:pt>
                <c:pt idx="13">
                  <c:v>80.193188096582332</c:v>
                </c:pt>
                <c:pt idx="14">
                  <c:v>81.7439895999985</c:v>
                </c:pt>
                <c:pt idx="15">
                  <c:v>83.413821222788556</c:v>
                </c:pt>
                <c:pt idx="16">
                  <c:v>85.126797956866881</c:v>
                </c:pt>
                <c:pt idx="17">
                  <c:v>86.472913660677719</c:v>
                </c:pt>
                <c:pt idx="18">
                  <c:v>87.642064236665846</c:v>
                </c:pt>
                <c:pt idx="19">
                  <c:v>89.647444175803315</c:v>
                </c:pt>
              </c:numCache>
            </c:numRef>
          </c:val>
          <c:smooth val="0"/>
          <c:extLst>
            <c:ext xmlns:c16="http://schemas.microsoft.com/office/drawing/2014/chart" uri="{C3380CC4-5D6E-409C-BE32-E72D297353CC}">
              <c16:uniqueId val="{00000005-91F0-43B1-989E-E9F9AFBDA9B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PY19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(non-LI)'!$C$32:$C$51</c:f>
              <c:numCache>
                <c:formatCode>"$"#,##0.00</c:formatCode>
                <c:ptCount val="20"/>
                <c:pt idx="0">
                  <c:v>0</c:v>
                </c:pt>
                <c:pt idx="1">
                  <c:v>89.724747707590296</c:v>
                </c:pt>
                <c:pt idx="2">
                  <c:v>98.80404223977996</c:v>
                </c:pt>
                <c:pt idx="3">
                  <c:v>104.81997103755694</c:v>
                </c:pt>
                <c:pt idx="4">
                  <c:v>102.91378504452344</c:v>
                </c:pt>
                <c:pt idx="5">
                  <c:v>73.868987295217835</c:v>
                </c:pt>
                <c:pt idx="6">
                  <c:v>76.253378015111821</c:v>
                </c:pt>
                <c:pt idx="7">
                  <c:v>79.14252965970276</c:v>
                </c:pt>
                <c:pt idx="8">
                  <c:v>81.931582500549922</c:v>
                </c:pt>
                <c:pt idx="9">
                  <c:v>84.516854392089215</c:v>
                </c:pt>
                <c:pt idx="10">
                  <c:v>86.081181235321466</c:v>
                </c:pt>
                <c:pt idx="11">
                  <c:v>85.471926709319376</c:v>
                </c:pt>
                <c:pt idx="12">
                  <c:v>85.054189195315658</c:v>
                </c:pt>
                <c:pt idx="13">
                  <c:v>85.479707682739601</c:v>
                </c:pt>
                <c:pt idx="14">
                  <c:v>86.797941778981851</c:v>
                </c:pt>
                <c:pt idx="15">
                  <c:v>88.253494372988698</c:v>
                </c:pt>
                <c:pt idx="16">
                  <c:v>89.750447311801722</c:v>
                </c:pt>
                <c:pt idx="17">
                  <c:v>90.771671891321404</c:v>
                </c:pt>
                <c:pt idx="18">
                  <c:v>91.55629291318408</c:v>
                </c:pt>
                <c:pt idx="19">
                  <c:v>93.381310526331177</c:v>
                </c:pt>
              </c:numCache>
            </c:numRef>
          </c:val>
          <c:smooth val="0"/>
          <c:extLst>
            <c:ext xmlns:c16="http://schemas.microsoft.com/office/drawing/2014/chart" uri="{C3380CC4-5D6E-409C-BE32-E72D297353CC}">
              <c16:uniqueId val="{00000000-E43E-47F7-A01D-61B1D0529C21}"/>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(non-LI)'!$D$32:$D$51</c:f>
              <c:numCache>
                <c:formatCode>"$"#,##0.00</c:formatCode>
                <c:ptCount val="20"/>
                <c:pt idx="0">
                  <c:v>0</c:v>
                </c:pt>
                <c:pt idx="1">
                  <c:v>58.071910012307228</c:v>
                </c:pt>
                <c:pt idx="2">
                  <c:v>68.023526843185806</c:v>
                </c:pt>
                <c:pt idx="3">
                  <c:v>76.012565602282905</c:v>
                </c:pt>
                <c:pt idx="4">
                  <c:v>72.967852442793401</c:v>
                </c:pt>
                <c:pt idx="5">
                  <c:v>43.964724476380887</c:v>
                </c:pt>
                <c:pt idx="6">
                  <c:v>45.654107122545334</c:v>
                </c:pt>
                <c:pt idx="7">
                  <c:v>47.692048713186267</c:v>
                </c:pt>
                <c:pt idx="8">
                  <c:v>49.662021082051282</c:v>
                </c:pt>
                <c:pt idx="9">
                  <c:v>51.492641039859841</c:v>
                </c:pt>
                <c:pt idx="10">
                  <c:v>52.621174113714616</c:v>
                </c:pt>
                <c:pt idx="11">
                  <c:v>52.253857485063904</c:v>
                </c:pt>
                <c:pt idx="12">
                  <c:v>52.019477494894559</c:v>
                </c:pt>
                <c:pt idx="13">
                  <c:v>52.366886357321818</c:v>
                </c:pt>
                <c:pt idx="14">
                  <c:v>53.330166606061503</c:v>
                </c:pt>
                <c:pt idx="15">
                  <c:v>54.389122721346112</c:v>
                </c:pt>
                <c:pt idx="16">
                  <c:v>55.47772119275929</c:v>
                </c:pt>
                <c:pt idx="17">
                  <c:v>56.239855032725217</c:v>
                </c:pt>
                <c:pt idx="18">
                  <c:v>56.840224744224557</c:v>
                </c:pt>
                <c:pt idx="19">
                  <c:v>58.158282074954336</c:v>
                </c:pt>
              </c:numCache>
            </c:numRef>
          </c:val>
          <c:smooth val="0"/>
          <c:extLst>
            <c:ext xmlns:c16="http://schemas.microsoft.com/office/drawing/2014/chart" uri="{C3380CC4-5D6E-409C-BE32-E72D297353CC}">
              <c16:uniqueId val="{00000001-E43E-47F7-A01D-61B1D0529C21}"/>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(non-LI)'!$E$32:$E$51</c:f>
              <c:numCache>
                <c:formatCode>"$"#,##0.00</c:formatCode>
                <c:ptCount val="20"/>
                <c:pt idx="0">
                  <c:v>0</c:v>
                </c:pt>
                <c:pt idx="1">
                  <c:v>97.250258331993777</c:v>
                </c:pt>
                <c:pt idx="2">
                  <c:v>107.76265378345808</c:v>
                </c:pt>
                <c:pt idx="3">
                  <c:v>116.64824601620765</c:v>
                </c:pt>
                <c:pt idx="4">
                  <c:v>110.22922486782274</c:v>
                </c:pt>
                <c:pt idx="5">
                  <c:v>83.732093265613372</c:v>
                </c:pt>
                <c:pt idx="6">
                  <c:v>88.079095456708288</c:v>
                </c:pt>
                <c:pt idx="7">
                  <c:v>93.471194924770529</c:v>
                </c:pt>
                <c:pt idx="8">
                  <c:v>98.520653422665092</c:v>
                </c:pt>
                <c:pt idx="9">
                  <c:v>103.08041583716579</c:v>
                </c:pt>
                <c:pt idx="10">
                  <c:v>106.26257643562121</c:v>
                </c:pt>
                <c:pt idx="11">
                  <c:v>104.53955523637298</c:v>
                </c:pt>
                <c:pt idx="12">
                  <c:v>103.2777271455256</c:v>
                </c:pt>
                <c:pt idx="13">
                  <c:v>104.0628250875676</c:v>
                </c:pt>
                <c:pt idx="14">
                  <c:v>107.01509738211125</c:v>
                </c:pt>
                <c:pt idx="15">
                  <c:v>110.29639098471289</c:v>
                </c:pt>
                <c:pt idx="16">
                  <c:v>113.6732131033452</c:v>
                </c:pt>
                <c:pt idx="17">
                  <c:v>115.88716785957854</c:v>
                </c:pt>
                <c:pt idx="18">
                  <c:v>117.51999402512153</c:v>
                </c:pt>
                <c:pt idx="19">
                  <c:v>121.6788149547281</c:v>
                </c:pt>
              </c:numCache>
            </c:numRef>
          </c:val>
          <c:smooth val="0"/>
          <c:extLst>
            <c:ext xmlns:c16="http://schemas.microsoft.com/office/drawing/2014/chart" uri="{C3380CC4-5D6E-409C-BE32-E72D297353CC}">
              <c16:uniqueId val="{00000002-E43E-47F7-A01D-61B1D0529C21}"/>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(non-LI)'!$F$32:$F$51</c:f>
              <c:numCache>
                <c:formatCode>"$"#,##0.00</c:formatCode>
                <c:ptCount val="20"/>
                <c:pt idx="0">
                  <c:v>0</c:v>
                </c:pt>
                <c:pt idx="1">
                  <c:v>84.563507440347621</c:v>
                </c:pt>
                <c:pt idx="2">
                  <c:v>94.26242773232029</c:v>
                </c:pt>
                <c:pt idx="3">
                  <c:v>102.473008662513</c:v>
                </c:pt>
                <c:pt idx="4">
                  <c:v>98.122194104912637</c:v>
                </c:pt>
                <c:pt idx="5">
                  <c:v>70.873560431640911</c:v>
                </c:pt>
                <c:pt idx="6">
                  <c:v>73.914529363865398</c:v>
                </c:pt>
                <c:pt idx="7">
                  <c:v>77.676169201749133</c:v>
                </c:pt>
                <c:pt idx="8">
                  <c:v>81.202808965984232</c:v>
                </c:pt>
                <c:pt idx="9">
                  <c:v>84.393195924011735</c:v>
                </c:pt>
                <c:pt idx="10">
                  <c:v>86.635878155135345</c:v>
                </c:pt>
                <c:pt idx="11">
                  <c:v>85.501546871001608</c:v>
                </c:pt>
                <c:pt idx="12">
                  <c:v>84.68586932673395</c:v>
                </c:pt>
                <c:pt idx="13">
                  <c:v>85.280908790909052</c:v>
                </c:pt>
                <c:pt idx="14">
                  <c:v>87.369497666511606</c:v>
                </c:pt>
                <c:pt idx="15">
                  <c:v>89.685781859881985</c:v>
                </c:pt>
                <c:pt idx="16">
                  <c:v>92.068984709346594</c:v>
                </c:pt>
                <c:pt idx="17">
                  <c:v>93.65251278524336</c:v>
                </c:pt>
                <c:pt idx="18">
                  <c:v>94.837013618356096</c:v>
                </c:pt>
                <c:pt idx="19">
                  <c:v>97.762284910266814</c:v>
                </c:pt>
              </c:numCache>
            </c:numRef>
          </c:val>
          <c:smooth val="0"/>
          <c:extLst>
            <c:ext xmlns:c16="http://schemas.microsoft.com/office/drawing/2014/chart" uri="{C3380CC4-5D6E-409C-BE32-E72D297353CC}">
              <c16:uniqueId val="{00000003-E43E-47F7-A01D-61B1D0529C21}"/>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(non-LI)'!$G$32:$G$51</c:f>
              <c:numCache>
                <c:formatCode>"$"#,##0.00</c:formatCode>
                <c:ptCount val="20"/>
                <c:pt idx="0">
                  <c:v>0</c:v>
                </c:pt>
                <c:pt idx="1">
                  <c:v>75.59364570829355</c:v>
                </c:pt>
                <c:pt idx="2">
                  <c:v>84.210817117963529</c:v>
                </c:pt>
                <c:pt idx="3">
                  <c:v>93.970462447613698</c:v>
                </c:pt>
                <c:pt idx="4">
                  <c:v>88.897600195495926</c:v>
                </c:pt>
                <c:pt idx="5">
                  <c:v>60.50130560516255</c:v>
                </c:pt>
                <c:pt idx="6">
                  <c:v>62.91353075092745</c:v>
                </c:pt>
                <c:pt idx="7">
                  <c:v>66.126633394468271</c:v>
                </c:pt>
                <c:pt idx="8">
                  <c:v>69.337733057302913</c:v>
                </c:pt>
                <c:pt idx="9">
                  <c:v>72.077429177743937</c:v>
                </c:pt>
                <c:pt idx="10">
                  <c:v>73.788927663757889</c:v>
                </c:pt>
                <c:pt idx="11">
                  <c:v>73.061660447706672</c:v>
                </c:pt>
                <c:pt idx="12">
                  <c:v>72.554484632116768</c:v>
                </c:pt>
                <c:pt idx="13">
                  <c:v>73.018103504248913</c:v>
                </c:pt>
                <c:pt idx="14">
                  <c:v>74.509477314631226</c:v>
                </c:pt>
                <c:pt idx="15">
                  <c:v>76.158482103727863</c:v>
                </c:pt>
                <c:pt idx="16">
                  <c:v>77.854622560160081</c:v>
                </c:pt>
                <c:pt idx="17">
                  <c:v>79.002226658871592</c:v>
                </c:pt>
                <c:pt idx="18">
                  <c:v>79.87672195433548</c:v>
                </c:pt>
                <c:pt idx="19">
                  <c:v>81.949025120226054</c:v>
                </c:pt>
              </c:numCache>
            </c:numRef>
          </c:val>
          <c:smooth val="0"/>
          <c:extLst>
            <c:ext xmlns:c16="http://schemas.microsoft.com/office/drawing/2014/chart" uri="{C3380CC4-5D6E-409C-BE32-E72D297353CC}">
              <c16:uniqueId val="{00000004-E43E-47F7-A01D-61B1D0529C21}"/>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(non-LI)'!$H$32:$H$51</c:f>
              <c:numCache>
                <c:formatCode>"$"#,##0.00</c:formatCode>
                <c:ptCount val="20"/>
                <c:pt idx="0">
                  <c:v>0</c:v>
                </c:pt>
                <c:pt idx="1">
                  <c:v>63.054012664640567</c:v>
                </c:pt>
                <c:pt idx="2">
                  <c:v>70.632705147299944</c:v>
                </c:pt>
                <c:pt idx="3">
                  <c:v>79.029346885248714</c:v>
                </c:pt>
                <c:pt idx="4">
                  <c:v>76.309285342789622</c:v>
                </c:pt>
                <c:pt idx="5">
                  <c:v>47.752760277152532</c:v>
                </c:pt>
                <c:pt idx="6">
                  <c:v>49.461311581423566</c:v>
                </c:pt>
                <c:pt idx="7">
                  <c:v>51.722347622474587</c:v>
                </c:pt>
                <c:pt idx="8">
                  <c:v>53.982969824505226</c:v>
                </c:pt>
                <c:pt idx="9">
                  <c:v>55.919936694619999</c:v>
                </c:pt>
                <c:pt idx="10">
                  <c:v>57.149822062089441</c:v>
                </c:pt>
                <c:pt idx="11">
                  <c:v>56.701233956229913</c:v>
                </c:pt>
                <c:pt idx="12">
                  <c:v>56.405260734977276</c:v>
                </c:pt>
                <c:pt idx="13">
                  <c:v>56.778908085368613</c:v>
                </c:pt>
                <c:pt idx="14">
                  <c:v>57.861423988560503</c:v>
                </c:pt>
                <c:pt idx="15">
                  <c:v>59.053604299121794</c:v>
                </c:pt>
                <c:pt idx="16">
                  <c:v>60.279376694726778</c:v>
                </c:pt>
                <c:pt idx="17">
                  <c:v>61.128543973294818</c:v>
                </c:pt>
                <c:pt idx="18">
                  <c:v>61.79080715553529</c:v>
                </c:pt>
                <c:pt idx="19">
                  <c:v>63.279161953050149</c:v>
                </c:pt>
              </c:numCache>
            </c:numRef>
          </c:val>
          <c:smooth val="0"/>
          <c:extLst>
            <c:ext xmlns:c16="http://schemas.microsoft.com/office/drawing/2014/chart" uri="{C3380CC4-5D6E-409C-BE32-E72D297353CC}">
              <c16:uniqueId val="{00000005-E43E-47F7-A01D-61B1D0529C2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PY20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(non-LI)'!$C$59:$C$78</c:f>
              <c:numCache>
                <c:formatCode>"$"#,##0.00</c:formatCode>
                <c:ptCount val="20"/>
                <c:pt idx="0">
                  <c:v>0</c:v>
                </c:pt>
                <c:pt idx="1">
                  <c:v>0</c:v>
                </c:pt>
                <c:pt idx="2">
                  <c:v>90.754042239779963</c:v>
                </c:pt>
                <c:pt idx="3">
                  <c:v>98.959971037556926</c:v>
                </c:pt>
                <c:pt idx="4">
                  <c:v>105.82378504452343</c:v>
                </c:pt>
                <c:pt idx="5">
                  <c:v>104.76898729521784</c:v>
                </c:pt>
                <c:pt idx="6">
                  <c:v>76.253378015111821</c:v>
                </c:pt>
                <c:pt idx="7">
                  <c:v>79.14252965970276</c:v>
                </c:pt>
                <c:pt idx="8">
                  <c:v>81.931582500549922</c:v>
                </c:pt>
                <c:pt idx="9">
                  <c:v>84.516854392089215</c:v>
                </c:pt>
                <c:pt idx="10">
                  <c:v>86.081181235321466</c:v>
                </c:pt>
                <c:pt idx="11">
                  <c:v>85.471926709319376</c:v>
                </c:pt>
                <c:pt idx="12">
                  <c:v>85.054189195315658</c:v>
                </c:pt>
                <c:pt idx="13">
                  <c:v>85.479707682739601</c:v>
                </c:pt>
                <c:pt idx="14">
                  <c:v>86.797941778981851</c:v>
                </c:pt>
                <c:pt idx="15">
                  <c:v>88.253494372988698</c:v>
                </c:pt>
                <c:pt idx="16">
                  <c:v>89.750447311801722</c:v>
                </c:pt>
                <c:pt idx="17">
                  <c:v>90.771671891321404</c:v>
                </c:pt>
                <c:pt idx="18">
                  <c:v>91.55629291318408</c:v>
                </c:pt>
                <c:pt idx="19">
                  <c:v>93.381310526331177</c:v>
                </c:pt>
              </c:numCache>
            </c:numRef>
          </c:val>
          <c:smooth val="0"/>
          <c:extLst>
            <c:ext xmlns:c16="http://schemas.microsoft.com/office/drawing/2014/chart" uri="{C3380CC4-5D6E-409C-BE32-E72D297353CC}">
              <c16:uniqueId val="{00000000-019C-4FB1-9F7E-4EB4B5F21B0F}"/>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(non-LI)'!$D$59:$D$78</c:f>
              <c:numCache>
                <c:formatCode>"$"#,##0.00</c:formatCode>
                <c:ptCount val="20"/>
                <c:pt idx="0">
                  <c:v>0</c:v>
                </c:pt>
                <c:pt idx="1">
                  <c:v>0</c:v>
                </c:pt>
                <c:pt idx="2">
                  <c:v>59.973526843185802</c:v>
                </c:pt>
                <c:pt idx="3">
                  <c:v>70.15256560228292</c:v>
                </c:pt>
                <c:pt idx="4">
                  <c:v>75.877852442793397</c:v>
                </c:pt>
                <c:pt idx="5">
                  <c:v>74.864724476380886</c:v>
                </c:pt>
                <c:pt idx="6">
                  <c:v>45.654107122545334</c:v>
                </c:pt>
                <c:pt idx="7">
                  <c:v>47.692048713186267</c:v>
                </c:pt>
                <c:pt idx="8">
                  <c:v>49.662021082051282</c:v>
                </c:pt>
                <c:pt idx="9">
                  <c:v>51.492641039859841</c:v>
                </c:pt>
                <c:pt idx="10">
                  <c:v>52.621174113714616</c:v>
                </c:pt>
                <c:pt idx="11">
                  <c:v>52.253857485063904</c:v>
                </c:pt>
                <c:pt idx="12">
                  <c:v>52.019477494894559</c:v>
                </c:pt>
                <c:pt idx="13">
                  <c:v>52.366886357321818</c:v>
                </c:pt>
                <c:pt idx="14">
                  <c:v>53.330166606061503</c:v>
                </c:pt>
                <c:pt idx="15">
                  <c:v>54.389122721346112</c:v>
                </c:pt>
                <c:pt idx="16">
                  <c:v>55.47772119275929</c:v>
                </c:pt>
                <c:pt idx="17">
                  <c:v>56.239855032725217</c:v>
                </c:pt>
                <c:pt idx="18">
                  <c:v>56.840224744224557</c:v>
                </c:pt>
                <c:pt idx="19">
                  <c:v>58.158282074954336</c:v>
                </c:pt>
              </c:numCache>
            </c:numRef>
          </c:val>
          <c:smooth val="0"/>
          <c:extLst>
            <c:ext xmlns:c16="http://schemas.microsoft.com/office/drawing/2014/chart" uri="{C3380CC4-5D6E-409C-BE32-E72D297353CC}">
              <c16:uniqueId val="{00000001-019C-4FB1-9F7E-4EB4B5F21B0F}"/>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(non-LI)'!$E$59:$E$78</c:f>
              <c:numCache>
                <c:formatCode>"$"#,##0.00</c:formatCode>
                <c:ptCount val="20"/>
                <c:pt idx="0">
                  <c:v>0</c:v>
                </c:pt>
                <c:pt idx="1">
                  <c:v>0</c:v>
                </c:pt>
                <c:pt idx="2">
                  <c:v>99.71265378345808</c:v>
                </c:pt>
                <c:pt idx="3">
                  <c:v>110.78824601620767</c:v>
                </c:pt>
                <c:pt idx="4">
                  <c:v>113.13922486782273</c:v>
                </c:pt>
                <c:pt idx="5">
                  <c:v>114.63209326561338</c:v>
                </c:pt>
                <c:pt idx="6">
                  <c:v>88.079095456708288</c:v>
                </c:pt>
                <c:pt idx="7">
                  <c:v>93.471194924770529</c:v>
                </c:pt>
                <c:pt idx="8">
                  <c:v>98.520653422665092</c:v>
                </c:pt>
                <c:pt idx="9">
                  <c:v>103.08041583716579</c:v>
                </c:pt>
                <c:pt idx="10">
                  <c:v>106.26257643562121</c:v>
                </c:pt>
                <c:pt idx="11">
                  <c:v>104.53955523637298</c:v>
                </c:pt>
                <c:pt idx="12">
                  <c:v>103.2777271455256</c:v>
                </c:pt>
                <c:pt idx="13">
                  <c:v>104.0628250875676</c:v>
                </c:pt>
                <c:pt idx="14">
                  <c:v>107.01509738211125</c:v>
                </c:pt>
                <c:pt idx="15">
                  <c:v>110.29639098471289</c:v>
                </c:pt>
                <c:pt idx="16">
                  <c:v>113.6732131033452</c:v>
                </c:pt>
                <c:pt idx="17">
                  <c:v>115.88716785957854</c:v>
                </c:pt>
                <c:pt idx="18">
                  <c:v>117.51999402512153</c:v>
                </c:pt>
                <c:pt idx="19">
                  <c:v>121.6788149547281</c:v>
                </c:pt>
              </c:numCache>
            </c:numRef>
          </c:val>
          <c:smooth val="0"/>
          <c:extLst>
            <c:ext xmlns:c16="http://schemas.microsoft.com/office/drawing/2014/chart" uri="{C3380CC4-5D6E-409C-BE32-E72D297353CC}">
              <c16:uniqueId val="{00000002-019C-4FB1-9F7E-4EB4B5F21B0F}"/>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(non-LI)'!$F$59:$F$78</c:f>
              <c:numCache>
                <c:formatCode>"$"#,##0.00</c:formatCode>
                <c:ptCount val="20"/>
                <c:pt idx="0">
                  <c:v>0</c:v>
                </c:pt>
                <c:pt idx="1">
                  <c:v>0</c:v>
                </c:pt>
                <c:pt idx="2">
                  <c:v>86.212427732320293</c:v>
                </c:pt>
                <c:pt idx="3">
                  <c:v>96.613008662512982</c:v>
                </c:pt>
                <c:pt idx="4">
                  <c:v>101.03219410491263</c:v>
                </c:pt>
                <c:pt idx="5">
                  <c:v>101.7735604316409</c:v>
                </c:pt>
                <c:pt idx="6">
                  <c:v>73.914529363865398</c:v>
                </c:pt>
                <c:pt idx="7">
                  <c:v>77.676169201749133</c:v>
                </c:pt>
                <c:pt idx="8">
                  <c:v>81.202808965984232</c:v>
                </c:pt>
                <c:pt idx="9">
                  <c:v>84.393195924011735</c:v>
                </c:pt>
                <c:pt idx="10">
                  <c:v>86.635878155135345</c:v>
                </c:pt>
                <c:pt idx="11">
                  <c:v>85.501546871001608</c:v>
                </c:pt>
                <c:pt idx="12">
                  <c:v>84.68586932673395</c:v>
                </c:pt>
                <c:pt idx="13">
                  <c:v>85.280908790909052</c:v>
                </c:pt>
                <c:pt idx="14">
                  <c:v>87.369497666511606</c:v>
                </c:pt>
                <c:pt idx="15">
                  <c:v>89.685781859881985</c:v>
                </c:pt>
                <c:pt idx="16">
                  <c:v>92.068984709346594</c:v>
                </c:pt>
                <c:pt idx="17">
                  <c:v>93.65251278524336</c:v>
                </c:pt>
                <c:pt idx="18">
                  <c:v>94.837013618356096</c:v>
                </c:pt>
                <c:pt idx="19">
                  <c:v>97.762284910266814</c:v>
                </c:pt>
              </c:numCache>
            </c:numRef>
          </c:val>
          <c:smooth val="0"/>
          <c:extLst>
            <c:ext xmlns:c16="http://schemas.microsoft.com/office/drawing/2014/chart" uri="{C3380CC4-5D6E-409C-BE32-E72D297353CC}">
              <c16:uniqueId val="{00000003-019C-4FB1-9F7E-4EB4B5F21B0F}"/>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(non-LI)'!$G$59:$G$78</c:f>
              <c:numCache>
                <c:formatCode>"$"#,##0.00</c:formatCode>
                <c:ptCount val="20"/>
                <c:pt idx="0">
                  <c:v>0</c:v>
                </c:pt>
                <c:pt idx="1">
                  <c:v>0</c:v>
                </c:pt>
                <c:pt idx="2">
                  <c:v>76.160817117963532</c:v>
                </c:pt>
                <c:pt idx="3">
                  <c:v>88.110462447613699</c:v>
                </c:pt>
                <c:pt idx="4">
                  <c:v>91.807600195495922</c:v>
                </c:pt>
                <c:pt idx="5">
                  <c:v>91.401305605162548</c:v>
                </c:pt>
                <c:pt idx="6">
                  <c:v>62.91353075092745</c:v>
                </c:pt>
                <c:pt idx="7">
                  <c:v>66.126633394468271</c:v>
                </c:pt>
                <c:pt idx="8">
                  <c:v>69.337733057302913</c:v>
                </c:pt>
                <c:pt idx="9">
                  <c:v>72.077429177743937</c:v>
                </c:pt>
                <c:pt idx="10">
                  <c:v>73.788927663757889</c:v>
                </c:pt>
                <c:pt idx="11">
                  <c:v>73.061660447706672</c:v>
                </c:pt>
                <c:pt idx="12">
                  <c:v>72.554484632116768</c:v>
                </c:pt>
                <c:pt idx="13">
                  <c:v>73.018103504248913</c:v>
                </c:pt>
                <c:pt idx="14">
                  <c:v>74.509477314631226</c:v>
                </c:pt>
                <c:pt idx="15">
                  <c:v>76.158482103727863</c:v>
                </c:pt>
                <c:pt idx="16">
                  <c:v>77.854622560160081</c:v>
                </c:pt>
                <c:pt idx="17">
                  <c:v>79.002226658871592</c:v>
                </c:pt>
                <c:pt idx="18">
                  <c:v>79.87672195433548</c:v>
                </c:pt>
                <c:pt idx="19">
                  <c:v>81.949025120226054</c:v>
                </c:pt>
              </c:numCache>
            </c:numRef>
          </c:val>
          <c:smooth val="0"/>
          <c:extLst>
            <c:ext xmlns:c16="http://schemas.microsoft.com/office/drawing/2014/chart" uri="{C3380CC4-5D6E-409C-BE32-E72D297353CC}">
              <c16:uniqueId val="{00000004-019C-4FB1-9F7E-4EB4B5F21B0F}"/>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(non-LI)'!$H$59:$H$78</c:f>
              <c:numCache>
                <c:formatCode>"$"#,##0.00</c:formatCode>
                <c:ptCount val="20"/>
                <c:pt idx="0">
                  <c:v>0</c:v>
                </c:pt>
                <c:pt idx="1">
                  <c:v>0</c:v>
                </c:pt>
                <c:pt idx="2">
                  <c:v>62.58270514729994</c:v>
                </c:pt>
                <c:pt idx="3">
                  <c:v>73.1693468852487</c:v>
                </c:pt>
                <c:pt idx="4">
                  <c:v>79.219285342789618</c:v>
                </c:pt>
                <c:pt idx="5">
                  <c:v>78.652760277152538</c:v>
                </c:pt>
                <c:pt idx="6">
                  <c:v>49.461311581423566</c:v>
                </c:pt>
                <c:pt idx="7">
                  <c:v>51.722347622474587</c:v>
                </c:pt>
                <c:pt idx="8">
                  <c:v>53.982969824505226</c:v>
                </c:pt>
                <c:pt idx="9">
                  <c:v>55.919936694619999</c:v>
                </c:pt>
                <c:pt idx="10">
                  <c:v>57.149822062089441</c:v>
                </c:pt>
                <c:pt idx="11">
                  <c:v>56.701233956229913</c:v>
                </c:pt>
                <c:pt idx="12">
                  <c:v>56.405260734977276</c:v>
                </c:pt>
                <c:pt idx="13">
                  <c:v>56.778908085368613</c:v>
                </c:pt>
                <c:pt idx="14">
                  <c:v>57.861423988560503</c:v>
                </c:pt>
                <c:pt idx="15">
                  <c:v>59.053604299121794</c:v>
                </c:pt>
                <c:pt idx="16">
                  <c:v>60.279376694726778</c:v>
                </c:pt>
                <c:pt idx="17">
                  <c:v>61.128543973294818</c:v>
                </c:pt>
                <c:pt idx="18">
                  <c:v>61.79080715553529</c:v>
                </c:pt>
                <c:pt idx="19">
                  <c:v>63.279161953050149</c:v>
                </c:pt>
              </c:numCache>
            </c:numRef>
          </c:val>
          <c:smooth val="0"/>
          <c:extLst>
            <c:ext xmlns:c16="http://schemas.microsoft.com/office/drawing/2014/chart" uri="{C3380CC4-5D6E-409C-BE32-E72D297353CC}">
              <c16:uniqueId val="{00000005-019C-4FB1-9F7E-4EB4B5F21B0F}"/>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PY21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(non-LI)'!$C$86:$C$105</c:f>
              <c:numCache>
                <c:formatCode>"$"#,##0.00</c:formatCode>
                <c:ptCount val="20"/>
                <c:pt idx="0">
                  <c:v>0</c:v>
                </c:pt>
                <c:pt idx="1">
                  <c:v>0</c:v>
                </c:pt>
                <c:pt idx="2">
                  <c:v>0</c:v>
                </c:pt>
                <c:pt idx="3">
                  <c:v>90.459971037556926</c:v>
                </c:pt>
                <c:pt idx="4">
                  <c:v>99.613785044523439</c:v>
                </c:pt>
                <c:pt idx="5">
                  <c:v>107.86898729521783</c:v>
                </c:pt>
                <c:pt idx="6">
                  <c:v>108.34337801511182</c:v>
                </c:pt>
                <c:pt idx="7">
                  <c:v>79.14252965970276</c:v>
                </c:pt>
                <c:pt idx="8">
                  <c:v>81.931582500549922</c:v>
                </c:pt>
                <c:pt idx="9">
                  <c:v>84.516854392089215</c:v>
                </c:pt>
                <c:pt idx="10">
                  <c:v>86.081181235321466</c:v>
                </c:pt>
                <c:pt idx="11">
                  <c:v>85.471926709319376</c:v>
                </c:pt>
                <c:pt idx="12">
                  <c:v>85.054189195315658</c:v>
                </c:pt>
                <c:pt idx="13">
                  <c:v>85.479707682739601</c:v>
                </c:pt>
                <c:pt idx="14">
                  <c:v>86.797941778981851</c:v>
                </c:pt>
                <c:pt idx="15">
                  <c:v>88.253494372988698</c:v>
                </c:pt>
                <c:pt idx="16">
                  <c:v>89.750447311801722</c:v>
                </c:pt>
                <c:pt idx="17">
                  <c:v>90.771671891321404</c:v>
                </c:pt>
                <c:pt idx="18">
                  <c:v>91.55629291318408</c:v>
                </c:pt>
                <c:pt idx="19">
                  <c:v>93.381310526331177</c:v>
                </c:pt>
              </c:numCache>
            </c:numRef>
          </c:val>
          <c:smooth val="0"/>
          <c:extLst>
            <c:ext xmlns:c16="http://schemas.microsoft.com/office/drawing/2014/chart" uri="{C3380CC4-5D6E-409C-BE32-E72D297353CC}">
              <c16:uniqueId val="{00000000-A2DE-44DD-8981-159FA285F391}"/>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(non-LI)'!$D$86:$D$105</c:f>
              <c:numCache>
                <c:formatCode>"$"#,##0.00</c:formatCode>
                <c:ptCount val="20"/>
                <c:pt idx="0">
                  <c:v>0</c:v>
                </c:pt>
                <c:pt idx="1">
                  <c:v>0</c:v>
                </c:pt>
                <c:pt idx="2">
                  <c:v>0</c:v>
                </c:pt>
                <c:pt idx="3">
                  <c:v>61.652565602282912</c:v>
                </c:pt>
                <c:pt idx="4">
                  <c:v>69.667852442793404</c:v>
                </c:pt>
                <c:pt idx="5">
                  <c:v>77.964724476380894</c:v>
                </c:pt>
                <c:pt idx="6">
                  <c:v>77.74410712254533</c:v>
                </c:pt>
                <c:pt idx="7">
                  <c:v>47.692048713186267</c:v>
                </c:pt>
                <c:pt idx="8">
                  <c:v>49.662021082051282</c:v>
                </c:pt>
                <c:pt idx="9">
                  <c:v>51.492641039859841</c:v>
                </c:pt>
                <c:pt idx="10">
                  <c:v>52.621174113714616</c:v>
                </c:pt>
                <c:pt idx="11">
                  <c:v>52.253857485063904</c:v>
                </c:pt>
                <c:pt idx="12">
                  <c:v>52.019477494894559</c:v>
                </c:pt>
                <c:pt idx="13">
                  <c:v>52.366886357321818</c:v>
                </c:pt>
                <c:pt idx="14">
                  <c:v>53.330166606061503</c:v>
                </c:pt>
                <c:pt idx="15">
                  <c:v>54.389122721346112</c:v>
                </c:pt>
                <c:pt idx="16">
                  <c:v>55.47772119275929</c:v>
                </c:pt>
                <c:pt idx="17">
                  <c:v>56.239855032725217</c:v>
                </c:pt>
                <c:pt idx="18">
                  <c:v>56.840224744224557</c:v>
                </c:pt>
                <c:pt idx="19">
                  <c:v>58.158282074954336</c:v>
                </c:pt>
              </c:numCache>
            </c:numRef>
          </c:val>
          <c:smooth val="0"/>
          <c:extLst>
            <c:ext xmlns:c16="http://schemas.microsoft.com/office/drawing/2014/chart" uri="{C3380CC4-5D6E-409C-BE32-E72D297353CC}">
              <c16:uniqueId val="{00000001-A2DE-44DD-8981-159FA285F391}"/>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(non-LI)'!$E$86:$E$105</c:f>
              <c:numCache>
                <c:formatCode>"$"#,##0.00</c:formatCode>
                <c:ptCount val="20"/>
                <c:pt idx="0">
                  <c:v>0</c:v>
                </c:pt>
                <c:pt idx="1">
                  <c:v>0</c:v>
                </c:pt>
                <c:pt idx="2">
                  <c:v>0</c:v>
                </c:pt>
                <c:pt idx="3">
                  <c:v>102.28824601620765</c:v>
                </c:pt>
                <c:pt idx="4">
                  <c:v>106.92922486782274</c:v>
                </c:pt>
                <c:pt idx="5">
                  <c:v>117.73209326561337</c:v>
                </c:pt>
                <c:pt idx="6">
                  <c:v>120.16909545670829</c:v>
                </c:pt>
                <c:pt idx="7">
                  <c:v>93.471194924770529</c:v>
                </c:pt>
                <c:pt idx="8">
                  <c:v>98.520653422665092</c:v>
                </c:pt>
                <c:pt idx="9">
                  <c:v>103.08041583716579</c:v>
                </c:pt>
                <c:pt idx="10">
                  <c:v>106.26257643562121</c:v>
                </c:pt>
                <c:pt idx="11">
                  <c:v>104.53955523637298</c:v>
                </c:pt>
                <c:pt idx="12">
                  <c:v>103.2777271455256</c:v>
                </c:pt>
                <c:pt idx="13">
                  <c:v>104.0628250875676</c:v>
                </c:pt>
                <c:pt idx="14">
                  <c:v>107.01509738211125</c:v>
                </c:pt>
                <c:pt idx="15">
                  <c:v>110.29639098471289</c:v>
                </c:pt>
                <c:pt idx="16">
                  <c:v>113.6732131033452</c:v>
                </c:pt>
                <c:pt idx="17">
                  <c:v>115.88716785957854</c:v>
                </c:pt>
                <c:pt idx="18">
                  <c:v>117.51999402512153</c:v>
                </c:pt>
                <c:pt idx="19">
                  <c:v>121.6788149547281</c:v>
                </c:pt>
              </c:numCache>
            </c:numRef>
          </c:val>
          <c:smooth val="0"/>
          <c:extLst>
            <c:ext xmlns:c16="http://schemas.microsoft.com/office/drawing/2014/chart" uri="{C3380CC4-5D6E-409C-BE32-E72D297353CC}">
              <c16:uniqueId val="{00000002-A2DE-44DD-8981-159FA285F391}"/>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(non-LI)'!$F$86:$F$105</c:f>
              <c:numCache>
                <c:formatCode>"$"#,##0.00</c:formatCode>
                <c:ptCount val="20"/>
                <c:pt idx="0">
                  <c:v>0</c:v>
                </c:pt>
                <c:pt idx="1">
                  <c:v>0</c:v>
                </c:pt>
                <c:pt idx="2">
                  <c:v>0</c:v>
                </c:pt>
                <c:pt idx="3">
                  <c:v>88.113008662512982</c:v>
                </c:pt>
                <c:pt idx="4">
                  <c:v>94.82219410491264</c:v>
                </c:pt>
                <c:pt idx="5">
                  <c:v>104.87356043164091</c:v>
                </c:pt>
                <c:pt idx="6">
                  <c:v>106.0045293638654</c:v>
                </c:pt>
                <c:pt idx="7">
                  <c:v>77.676169201749133</c:v>
                </c:pt>
                <c:pt idx="8">
                  <c:v>81.202808965984232</c:v>
                </c:pt>
                <c:pt idx="9">
                  <c:v>84.393195924011735</c:v>
                </c:pt>
                <c:pt idx="10">
                  <c:v>86.635878155135345</c:v>
                </c:pt>
                <c:pt idx="11">
                  <c:v>85.501546871001608</c:v>
                </c:pt>
                <c:pt idx="12">
                  <c:v>84.68586932673395</c:v>
                </c:pt>
                <c:pt idx="13">
                  <c:v>85.280908790909052</c:v>
                </c:pt>
                <c:pt idx="14">
                  <c:v>87.369497666511606</c:v>
                </c:pt>
                <c:pt idx="15">
                  <c:v>89.685781859881985</c:v>
                </c:pt>
                <c:pt idx="16">
                  <c:v>92.068984709346594</c:v>
                </c:pt>
                <c:pt idx="17">
                  <c:v>93.65251278524336</c:v>
                </c:pt>
                <c:pt idx="18">
                  <c:v>94.837013618356096</c:v>
                </c:pt>
                <c:pt idx="19">
                  <c:v>97.762284910266814</c:v>
                </c:pt>
              </c:numCache>
            </c:numRef>
          </c:val>
          <c:smooth val="0"/>
          <c:extLst>
            <c:ext xmlns:c16="http://schemas.microsoft.com/office/drawing/2014/chart" uri="{C3380CC4-5D6E-409C-BE32-E72D297353CC}">
              <c16:uniqueId val="{00000003-A2DE-44DD-8981-159FA285F391}"/>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(non-LI)'!$G$86:$G$105</c:f>
              <c:numCache>
                <c:formatCode>"$"#,##0.00</c:formatCode>
                <c:ptCount val="20"/>
                <c:pt idx="0">
                  <c:v>0</c:v>
                </c:pt>
                <c:pt idx="1">
                  <c:v>0</c:v>
                </c:pt>
                <c:pt idx="2">
                  <c:v>0</c:v>
                </c:pt>
                <c:pt idx="3">
                  <c:v>79.610462447613699</c:v>
                </c:pt>
                <c:pt idx="4">
                  <c:v>85.597600195495929</c:v>
                </c:pt>
                <c:pt idx="5">
                  <c:v>94.501305605162543</c:v>
                </c:pt>
                <c:pt idx="6">
                  <c:v>95.003530750927453</c:v>
                </c:pt>
                <c:pt idx="7">
                  <c:v>66.126633394468271</c:v>
                </c:pt>
                <c:pt idx="8">
                  <c:v>69.337733057302913</c:v>
                </c:pt>
                <c:pt idx="9">
                  <c:v>72.077429177743937</c:v>
                </c:pt>
                <c:pt idx="10">
                  <c:v>73.788927663757889</c:v>
                </c:pt>
                <c:pt idx="11">
                  <c:v>73.061660447706672</c:v>
                </c:pt>
                <c:pt idx="12">
                  <c:v>72.554484632116768</c:v>
                </c:pt>
                <c:pt idx="13">
                  <c:v>73.018103504248913</c:v>
                </c:pt>
                <c:pt idx="14">
                  <c:v>74.509477314631226</c:v>
                </c:pt>
                <c:pt idx="15">
                  <c:v>76.158482103727863</c:v>
                </c:pt>
                <c:pt idx="16">
                  <c:v>77.854622560160081</c:v>
                </c:pt>
                <c:pt idx="17">
                  <c:v>79.002226658871592</c:v>
                </c:pt>
                <c:pt idx="18">
                  <c:v>79.87672195433548</c:v>
                </c:pt>
                <c:pt idx="19">
                  <c:v>81.949025120226054</c:v>
                </c:pt>
              </c:numCache>
            </c:numRef>
          </c:val>
          <c:smooth val="0"/>
          <c:extLst>
            <c:ext xmlns:c16="http://schemas.microsoft.com/office/drawing/2014/chart" uri="{C3380CC4-5D6E-409C-BE32-E72D297353CC}">
              <c16:uniqueId val="{00000004-A2DE-44DD-8981-159FA285F391}"/>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(non-LI)'!$H$86:$H$105</c:f>
              <c:numCache>
                <c:formatCode>"$"#,##0.00</c:formatCode>
                <c:ptCount val="20"/>
                <c:pt idx="0">
                  <c:v>0</c:v>
                </c:pt>
                <c:pt idx="1">
                  <c:v>0</c:v>
                </c:pt>
                <c:pt idx="2">
                  <c:v>0</c:v>
                </c:pt>
                <c:pt idx="3">
                  <c:v>64.6693468852487</c:v>
                </c:pt>
                <c:pt idx="4">
                  <c:v>73.009285342789624</c:v>
                </c:pt>
                <c:pt idx="5">
                  <c:v>81.752760277152532</c:v>
                </c:pt>
                <c:pt idx="6">
                  <c:v>81.551311581423562</c:v>
                </c:pt>
                <c:pt idx="7">
                  <c:v>51.722347622474587</c:v>
                </c:pt>
                <c:pt idx="8">
                  <c:v>53.982969824505226</c:v>
                </c:pt>
                <c:pt idx="9">
                  <c:v>55.919936694619999</c:v>
                </c:pt>
                <c:pt idx="10">
                  <c:v>57.149822062089441</c:v>
                </c:pt>
                <c:pt idx="11">
                  <c:v>56.701233956229913</c:v>
                </c:pt>
                <c:pt idx="12">
                  <c:v>56.405260734977276</c:v>
                </c:pt>
                <c:pt idx="13">
                  <c:v>56.778908085368613</c:v>
                </c:pt>
                <c:pt idx="14">
                  <c:v>57.861423988560503</c:v>
                </c:pt>
                <c:pt idx="15">
                  <c:v>59.053604299121794</c:v>
                </c:pt>
                <c:pt idx="16">
                  <c:v>60.279376694726778</c:v>
                </c:pt>
                <c:pt idx="17">
                  <c:v>61.128543973294818</c:v>
                </c:pt>
                <c:pt idx="18">
                  <c:v>61.79080715553529</c:v>
                </c:pt>
                <c:pt idx="19">
                  <c:v>63.279161953050149</c:v>
                </c:pt>
              </c:numCache>
            </c:numRef>
          </c:val>
          <c:smooth val="0"/>
          <c:extLst>
            <c:ext xmlns:c16="http://schemas.microsoft.com/office/drawing/2014/chart" uri="{C3380CC4-5D6E-409C-BE32-E72D297353CC}">
              <c16:uniqueId val="{00000005-A2DE-44DD-8981-159FA285F39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PY22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(non-LI)'!$C$113:$C$132</c:f>
              <c:numCache>
                <c:formatCode>"$"#,##0.00</c:formatCode>
                <c:ptCount val="20"/>
                <c:pt idx="0">
                  <c:v>0</c:v>
                </c:pt>
                <c:pt idx="1">
                  <c:v>0</c:v>
                </c:pt>
                <c:pt idx="2">
                  <c:v>0</c:v>
                </c:pt>
                <c:pt idx="3">
                  <c:v>0</c:v>
                </c:pt>
                <c:pt idx="4">
                  <c:v>90.62378504452343</c:v>
                </c:pt>
                <c:pt idx="5">
                  <c:v>101.26898729521784</c:v>
                </c:pt>
                <c:pt idx="6">
                  <c:v>111.56337801511182</c:v>
                </c:pt>
                <c:pt idx="7">
                  <c:v>112.50252965970276</c:v>
                </c:pt>
                <c:pt idx="8">
                  <c:v>81.931582500549922</c:v>
                </c:pt>
                <c:pt idx="9">
                  <c:v>84.516854392089215</c:v>
                </c:pt>
                <c:pt idx="10">
                  <c:v>86.081181235321466</c:v>
                </c:pt>
                <c:pt idx="11">
                  <c:v>85.471926709319376</c:v>
                </c:pt>
                <c:pt idx="12">
                  <c:v>85.054189195315658</c:v>
                </c:pt>
                <c:pt idx="13">
                  <c:v>85.479707682739601</c:v>
                </c:pt>
                <c:pt idx="14">
                  <c:v>86.797941778981851</c:v>
                </c:pt>
                <c:pt idx="15">
                  <c:v>88.253494372988698</c:v>
                </c:pt>
                <c:pt idx="16">
                  <c:v>89.750447311801722</c:v>
                </c:pt>
                <c:pt idx="17">
                  <c:v>90.771671891321404</c:v>
                </c:pt>
                <c:pt idx="18">
                  <c:v>91.55629291318408</c:v>
                </c:pt>
                <c:pt idx="19">
                  <c:v>93.381310526331177</c:v>
                </c:pt>
              </c:numCache>
            </c:numRef>
          </c:val>
          <c:smooth val="0"/>
          <c:extLst>
            <c:ext xmlns:c16="http://schemas.microsoft.com/office/drawing/2014/chart" uri="{C3380CC4-5D6E-409C-BE32-E72D297353CC}">
              <c16:uniqueId val="{00000000-2BD2-497F-BDF0-6C6DC0E0075E}"/>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(non-LI)'!$D$113:$D$132</c:f>
              <c:numCache>
                <c:formatCode>"$"#,##0.00</c:formatCode>
                <c:ptCount val="20"/>
                <c:pt idx="0">
                  <c:v>0</c:v>
                </c:pt>
                <c:pt idx="1">
                  <c:v>0</c:v>
                </c:pt>
                <c:pt idx="2">
                  <c:v>0</c:v>
                </c:pt>
                <c:pt idx="3">
                  <c:v>0</c:v>
                </c:pt>
                <c:pt idx="4">
                  <c:v>60.677852442793395</c:v>
                </c:pt>
                <c:pt idx="5">
                  <c:v>71.364724476380886</c:v>
                </c:pt>
                <c:pt idx="6">
                  <c:v>80.964107122545329</c:v>
                </c:pt>
                <c:pt idx="7">
                  <c:v>81.052048713186267</c:v>
                </c:pt>
                <c:pt idx="8">
                  <c:v>49.662021082051282</c:v>
                </c:pt>
                <c:pt idx="9">
                  <c:v>51.492641039859841</c:v>
                </c:pt>
                <c:pt idx="10">
                  <c:v>52.621174113714616</c:v>
                </c:pt>
                <c:pt idx="11">
                  <c:v>52.253857485063904</c:v>
                </c:pt>
                <c:pt idx="12">
                  <c:v>52.019477494894559</c:v>
                </c:pt>
                <c:pt idx="13">
                  <c:v>52.366886357321818</c:v>
                </c:pt>
                <c:pt idx="14">
                  <c:v>53.330166606061503</c:v>
                </c:pt>
                <c:pt idx="15">
                  <c:v>54.389122721346112</c:v>
                </c:pt>
                <c:pt idx="16">
                  <c:v>55.47772119275929</c:v>
                </c:pt>
                <c:pt idx="17">
                  <c:v>56.239855032725217</c:v>
                </c:pt>
                <c:pt idx="18">
                  <c:v>56.840224744224557</c:v>
                </c:pt>
                <c:pt idx="19">
                  <c:v>58.158282074954336</c:v>
                </c:pt>
              </c:numCache>
            </c:numRef>
          </c:val>
          <c:smooth val="0"/>
          <c:extLst>
            <c:ext xmlns:c16="http://schemas.microsoft.com/office/drawing/2014/chart" uri="{C3380CC4-5D6E-409C-BE32-E72D297353CC}">
              <c16:uniqueId val="{00000001-2BD2-497F-BDF0-6C6DC0E0075E}"/>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(non-LI)'!$E$113:$E$132</c:f>
              <c:numCache>
                <c:formatCode>"$"#,##0.00</c:formatCode>
                <c:ptCount val="20"/>
                <c:pt idx="0">
                  <c:v>0</c:v>
                </c:pt>
                <c:pt idx="1">
                  <c:v>0</c:v>
                </c:pt>
                <c:pt idx="2">
                  <c:v>0</c:v>
                </c:pt>
                <c:pt idx="3">
                  <c:v>0</c:v>
                </c:pt>
                <c:pt idx="4">
                  <c:v>97.93922486782273</c:v>
                </c:pt>
                <c:pt idx="5">
                  <c:v>111.13209326561338</c:v>
                </c:pt>
                <c:pt idx="6">
                  <c:v>123.38909545670829</c:v>
                </c:pt>
                <c:pt idx="7">
                  <c:v>126.83119492477053</c:v>
                </c:pt>
                <c:pt idx="8">
                  <c:v>98.520653422665092</c:v>
                </c:pt>
                <c:pt idx="9">
                  <c:v>103.08041583716579</c:v>
                </c:pt>
                <c:pt idx="10">
                  <c:v>106.26257643562121</c:v>
                </c:pt>
                <c:pt idx="11">
                  <c:v>104.53955523637298</c:v>
                </c:pt>
                <c:pt idx="12">
                  <c:v>103.2777271455256</c:v>
                </c:pt>
                <c:pt idx="13">
                  <c:v>104.0628250875676</c:v>
                </c:pt>
                <c:pt idx="14">
                  <c:v>107.01509738211125</c:v>
                </c:pt>
                <c:pt idx="15">
                  <c:v>110.29639098471289</c:v>
                </c:pt>
                <c:pt idx="16">
                  <c:v>113.6732131033452</c:v>
                </c:pt>
                <c:pt idx="17">
                  <c:v>115.88716785957854</c:v>
                </c:pt>
                <c:pt idx="18">
                  <c:v>117.51999402512153</c:v>
                </c:pt>
                <c:pt idx="19">
                  <c:v>121.6788149547281</c:v>
                </c:pt>
              </c:numCache>
            </c:numRef>
          </c:val>
          <c:smooth val="0"/>
          <c:extLst>
            <c:ext xmlns:c16="http://schemas.microsoft.com/office/drawing/2014/chart" uri="{C3380CC4-5D6E-409C-BE32-E72D297353CC}">
              <c16:uniqueId val="{00000002-2BD2-497F-BDF0-6C6DC0E0075E}"/>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(non-LI)'!$F$113:$F$132</c:f>
              <c:numCache>
                <c:formatCode>"$"#,##0.00</c:formatCode>
                <c:ptCount val="20"/>
                <c:pt idx="0">
                  <c:v>0</c:v>
                </c:pt>
                <c:pt idx="1">
                  <c:v>0</c:v>
                </c:pt>
                <c:pt idx="2">
                  <c:v>0</c:v>
                </c:pt>
                <c:pt idx="3">
                  <c:v>0</c:v>
                </c:pt>
                <c:pt idx="4">
                  <c:v>85.832194104912631</c:v>
                </c:pt>
                <c:pt idx="5">
                  <c:v>98.273560431640902</c:v>
                </c:pt>
                <c:pt idx="6">
                  <c:v>109.2245293638654</c:v>
                </c:pt>
                <c:pt idx="7">
                  <c:v>111.03616920174913</c:v>
                </c:pt>
                <c:pt idx="8">
                  <c:v>81.202808965984232</c:v>
                </c:pt>
                <c:pt idx="9">
                  <c:v>84.393195924011735</c:v>
                </c:pt>
                <c:pt idx="10">
                  <c:v>86.635878155135345</c:v>
                </c:pt>
                <c:pt idx="11">
                  <c:v>85.501546871001608</c:v>
                </c:pt>
                <c:pt idx="12">
                  <c:v>84.68586932673395</c:v>
                </c:pt>
                <c:pt idx="13">
                  <c:v>85.280908790909052</c:v>
                </c:pt>
                <c:pt idx="14">
                  <c:v>87.369497666511606</c:v>
                </c:pt>
                <c:pt idx="15">
                  <c:v>89.685781859881985</c:v>
                </c:pt>
                <c:pt idx="16">
                  <c:v>92.068984709346594</c:v>
                </c:pt>
                <c:pt idx="17">
                  <c:v>93.65251278524336</c:v>
                </c:pt>
                <c:pt idx="18">
                  <c:v>94.837013618356096</c:v>
                </c:pt>
                <c:pt idx="19">
                  <c:v>97.762284910266814</c:v>
                </c:pt>
              </c:numCache>
            </c:numRef>
          </c:val>
          <c:smooth val="0"/>
          <c:extLst>
            <c:ext xmlns:c16="http://schemas.microsoft.com/office/drawing/2014/chart" uri="{C3380CC4-5D6E-409C-BE32-E72D297353CC}">
              <c16:uniqueId val="{00000003-2BD2-497F-BDF0-6C6DC0E0075E}"/>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(non-LI)'!$G$113:$G$132</c:f>
              <c:numCache>
                <c:formatCode>"$"#,##0.00</c:formatCode>
                <c:ptCount val="20"/>
                <c:pt idx="0">
                  <c:v>0</c:v>
                </c:pt>
                <c:pt idx="1">
                  <c:v>0</c:v>
                </c:pt>
                <c:pt idx="2">
                  <c:v>0</c:v>
                </c:pt>
                <c:pt idx="3">
                  <c:v>0</c:v>
                </c:pt>
                <c:pt idx="4">
                  <c:v>76.607600195495934</c:v>
                </c:pt>
                <c:pt idx="5">
                  <c:v>87.901305605162548</c:v>
                </c:pt>
                <c:pt idx="6">
                  <c:v>98.223530750927452</c:v>
                </c:pt>
                <c:pt idx="7">
                  <c:v>99.486633394468271</c:v>
                </c:pt>
                <c:pt idx="8">
                  <c:v>69.337733057302913</c:v>
                </c:pt>
                <c:pt idx="9">
                  <c:v>72.077429177743937</c:v>
                </c:pt>
                <c:pt idx="10">
                  <c:v>73.788927663757889</c:v>
                </c:pt>
                <c:pt idx="11">
                  <c:v>73.061660447706672</c:v>
                </c:pt>
                <c:pt idx="12">
                  <c:v>72.554484632116768</c:v>
                </c:pt>
                <c:pt idx="13">
                  <c:v>73.018103504248913</c:v>
                </c:pt>
                <c:pt idx="14">
                  <c:v>74.509477314631226</c:v>
                </c:pt>
                <c:pt idx="15">
                  <c:v>76.158482103727863</c:v>
                </c:pt>
                <c:pt idx="16">
                  <c:v>77.854622560160081</c:v>
                </c:pt>
                <c:pt idx="17">
                  <c:v>79.002226658871592</c:v>
                </c:pt>
                <c:pt idx="18">
                  <c:v>79.87672195433548</c:v>
                </c:pt>
                <c:pt idx="19">
                  <c:v>81.949025120226054</c:v>
                </c:pt>
              </c:numCache>
            </c:numRef>
          </c:val>
          <c:smooth val="0"/>
          <c:extLst>
            <c:ext xmlns:c16="http://schemas.microsoft.com/office/drawing/2014/chart" uri="{C3380CC4-5D6E-409C-BE32-E72D297353CC}">
              <c16:uniqueId val="{00000004-2BD2-497F-BDF0-6C6DC0E0075E}"/>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(non-LI)'!$H$113:$H$132</c:f>
              <c:numCache>
                <c:formatCode>"$"#,##0.00</c:formatCode>
                <c:ptCount val="20"/>
                <c:pt idx="0">
                  <c:v>0</c:v>
                </c:pt>
                <c:pt idx="1">
                  <c:v>0</c:v>
                </c:pt>
                <c:pt idx="2">
                  <c:v>0</c:v>
                </c:pt>
                <c:pt idx="3">
                  <c:v>0</c:v>
                </c:pt>
                <c:pt idx="4">
                  <c:v>64.019285342789615</c:v>
                </c:pt>
                <c:pt idx="5">
                  <c:v>75.152760277152538</c:v>
                </c:pt>
                <c:pt idx="6">
                  <c:v>84.771311581423561</c:v>
                </c:pt>
                <c:pt idx="7">
                  <c:v>85.082347622474586</c:v>
                </c:pt>
                <c:pt idx="8">
                  <c:v>53.982969824505226</c:v>
                </c:pt>
                <c:pt idx="9">
                  <c:v>55.919936694619999</c:v>
                </c:pt>
                <c:pt idx="10">
                  <c:v>57.149822062089441</c:v>
                </c:pt>
                <c:pt idx="11">
                  <c:v>56.701233956229913</c:v>
                </c:pt>
                <c:pt idx="12">
                  <c:v>56.405260734977276</c:v>
                </c:pt>
                <c:pt idx="13">
                  <c:v>56.778908085368613</c:v>
                </c:pt>
                <c:pt idx="14">
                  <c:v>57.861423988560503</c:v>
                </c:pt>
                <c:pt idx="15">
                  <c:v>59.053604299121794</c:v>
                </c:pt>
                <c:pt idx="16">
                  <c:v>60.279376694726778</c:v>
                </c:pt>
                <c:pt idx="17">
                  <c:v>61.128543973294818</c:v>
                </c:pt>
                <c:pt idx="18">
                  <c:v>61.79080715553529</c:v>
                </c:pt>
                <c:pt idx="19">
                  <c:v>63.279161953050149</c:v>
                </c:pt>
              </c:numCache>
            </c:numRef>
          </c:val>
          <c:smooth val="0"/>
          <c:extLst>
            <c:ext xmlns:c16="http://schemas.microsoft.com/office/drawing/2014/chart" uri="{C3380CC4-5D6E-409C-BE32-E72D297353CC}">
              <c16:uniqueId val="{00000005-2BD2-497F-BDF0-6C6DC0E0075E}"/>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PY18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Output'!$C$5:$C$24</c:f>
              <c:numCache>
                <c:formatCode>"$"#,##0.00</c:formatCode>
                <c:ptCount val="20"/>
                <c:pt idx="0">
                  <c:v>105.74626504495905</c:v>
                </c:pt>
                <c:pt idx="1">
                  <c:v>115.7467477075903</c:v>
                </c:pt>
                <c:pt idx="2">
                  <c:v>123.18528223977997</c:v>
                </c:pt>
                <c:pt idx="3">
                  <c:v>121.28783583755694</c:v>
                </c:pt>
                <c:pt idx="4">
                  <c:v>93.445807140523442</c:v>
                </c:pt>
                <c:pt idx="5">
                  <c:v>93.852849833137839</c:v>
                </c:pt>
                <c:pt idx="6">
                  <c:v>96.636917803790226</c:v>
                </c:pt>
                <c:pt idx="7">
                  <c:v>99.933740244154734</c:v>
                </c:pt>
                <c:pt idx="8">
                  <c:v>103.13861729669094</c:v>
                </c:pt>
                <c:pt idx="9">
                  <c:v>106.14802988415305</c:v>
                </c:pt>
                <c:pt idx="10">
                  <c:v>108.14498023722658</c:v>
                </c:pt>
                <c:pt idx="11">
                  <c:v>107.97700169126259</c:v>
                </c:pt>
                <c:pt idx="12">
                  <c:v>108.00936567689774</c:v>
                </c:pt>
                <c:pt idx="13">
                  <c:v>108.89398769395332</c:v>
                </c:pt>
                <c:pt idx="14">
                  <c:v>110.68050739041985</c:v>
                </c:pt>
                <c:pt idx="15">
                  <c:v>112.61371129665545</c:v>
                </c:pt>
                <c:pt idx="16">
                  <c:v>114.59786857394181</c:v>
                </c:pt>
                <c:pt idx="17">
                  <c:v>116.1160415787043</c:v>
                </c:pt>
                <c:pt idx="18">
                  <c:v>117.40754999431464</c:v>
                </c:pt>
                <c:pt idx="19">
                  <c:v>119.74959274908434</c:v>
                </c:pt>
              </c:numCache>
            </c:numRef>
          </c:val>
          <c:smooth val="0"/>
          <c:extLst>
            <c:ext xmlns:c16="http://schemas.microsoft.com/office/drawing/2014/chart" uri="{C3380CC4-5D6E-409C-BE32-E72D297353CC}">
              <c16:uniqueId val="{00000000-9B79-4C8A-853C-5C09B800376E}"/>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Output'!$D$5:$D$24</c:f>
              <c:numCache>
                <c:formatCode>"$"#,##0.00</c:formatCode>
                <c:ptCount val="20"/>
                <c:pt idx="0">
                  <c:v>75.962689418295071</c:v>
                </c:pt>
                <c:pt idx="1">
                  <c:v>84.093910012307234</c:v>
                </c:pt>
                <c:pt idx="2">
                  <c:v>92.404766843185811</c:v>
                </c:pt>
                <c:pt idx="3">
                  <c:v>92.48043040228292</c:v>
                </c:pt>
                <c:pt idx="4">
                  <c:v>63.499874538793406</c:v>
                </c:pt>
                <c:pt idx="5">
                  <c:v>63.948587014300898</c:v>
                </c:pt>
                <c:pt idx="6">
                  <c:v>66.037646911223746</c:v>
                </c:pt>
                <c:pt idx="7">
                  <c:v>68.483259297638241</c:v>
                </c:pt>
                <c:pt idx="8">
                  <c:v>70.869055878192299</c:v>
                </c:pt>
                <c:pt idx="9">
                  <c:v>73.12381653192368</c:v>
                </c:pt>
                <c:pt idx="10">
                  <c:v>74.684973115619727</c:v>
                </c:pt>
                <c:pt idx="11">
                  <c:v>74.758932467007128</c:v>
                </c:pt>
                <c:pt idx="12">
                  <c:v>74.974653976476645</c:v>
                </c:pt>
                <c:pt idx="13">
                  <c:v>75.781166368535537</c:v>
                </c:pt>
                <c:pt idx="14">
                  <c:v>77.212732217499507</c:v>
                </c:pt>
                <c:pt idx="15">
                  <c:v>78.749339645012867</c:v>
                </c:pt>
                <c:pt idx="16">
                  <c:v>80.325142454899378</c:v>
                </c:pt>
                <c:pt idx="17">
                  <c:v>81.584224720108111</c:v>
                </c:pt>
                <c:pt idx="18">
                  <c:v>82.691481825355112</c:v>
                </c:pt>
                <c:pt idx="19">
                  <c:v>84.526564297707495</c:v>
                </c:pt>
              </c:numCache>
            </c:numRef>
          </c:val>
          <c:smooth val="0"/>
          <c:extLst>
            <c:ext xmlns:c16="http://schemas.microsoft.com/office/drawing/2014/chart" uri="{C3380CC4-5D6E-409C-BE32-E72D297353CC}">
              <c16:uniqueId val="{00000001-9B79-4C8A-853C-5C09B800376E}"/>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Output'!$E$5:$E$24</c:f>
              <c:numCache>
                <c:formatCode>"$"#,##0.00</c:formatCode>
                <c:ptCount val="20"/>
                <c:pt idx="0">
                  <c:v>110.02825982066608</c:v>
                </c:pt>
                <c:pt idx="1">
                  <c:v>123.27225833199377</c:v>
                </c:pt>
                <c:pt idx="2">
                  <c:v>132.14389378345808</c:v>
                </c:pt>
                <c:pt idx="3">
                  <c:v>133.11611081620765</c:v>
                </c:pt>
                <c:pt idx="4">
                  <c:v>100.76124696382274</c:v>
                </c:pt>
                <c:pt idx="5">
                  <c:v>103.71595580353338</c:v>
                </c:pt>
                <c:pt idx="6">
                  <c:v>108.46263524538669</c:v>
                </c:pt>
                <c:pt idx="7">
                  <c:v>114.2624055092225</c:v>
                </c:pt>
                <c:pt idx="8">
                  <c:v>119.72768821880611</c:v>
                </c:pt>
                <c:pt idx="9">
                  <c:v>124.71159132922962</c:v>
                </c:pt>
                <c:pt idx="10">
                  <c:v>128.32637543752634</c:v>
                </c:pt>
                <c:pt idx="11">
                  <c:v>127.0446302183162</c:v>
                </c:pt>
                <c:pt idx="12">
                  <c:v>126.23290362710769</c:v>
                </c:pt>
                <c:pt idx="13">
                  <c:v>127.47710509878132</c:v>
                </c:pt>
                <c:pt idx="14">
                  <c:v>130.89766299354926</c:v>
                </c:pt>
                <c:pt idx="15">
                  <c:v>134.65660790837964</c:v>
                </c:pt>
                <c:pt idx="16">
                  <c:v>138.52063436548531</c:v>
                </c:pt>
                <c:pt idx="17">
                  <c:v>141.23153754696145</c:v>
                </c:pt>
                <c:pt idx="18">
                  <c:v>143.37125110625209</c:v>
                </c:pt>
                <c:pt idx="19">
                  <c:v>148.04709717748125</c:v>
                </c:pt>
              </c:numCache>
            </c:numRef>
          </c:val>
          <c:smooth val="0"/>
          <c:extLst>
            <c:ext xmlns:c16="http://schemas.microsoft.com/office/drawing/2014/chart" uri="{C3380CC4-5D6E-409C-BE32-E72D297353CC}">
              <c16:uniqueId val="{00000002-9B79-4C8A-853C-5C09B800376E}"/>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Output'!$F$5:$F$24</c:f>
              <c:numCache>
                <c:formatCode>"$"#,##0.00</c:formatCode>
                <c:ptCount val="20"/>
                <c:pt idx="0">
                  <c:v>98.051136195810528</c:v>
                </c:pt>
                <c:pt idx="1">
                  <c:v>110.58550744034763</c:v>
                </c:pt>
                <c:pt idx="2">
                  <c:v>118.6436677323203</c:v>
                </c:pt>
                <c:pt idx="3">
                  <c:v>118.940873462513</c:v>
                </c:pt>
                <c:pt idx="4">
                  <c:v>88.654216200912643</c:v>
                </c:pt>
                <c:pt idx="5">
                  <c:v>90.857422969560915</c:v>
                </c:pt>
                <c:pt idx="6">
                  <c:v>94.298069152543803</c:v>
                </c:pt>
                <c:pt idx="7">
                  <c:v>98.467379786201107</c:v>
                </c:pt>
                <c:pt idx="8">
                  <c:v>102.40984376212525</c:v>
                </c:pt>
                <c:pt idx="9">
                  <c:v>106.02437141607557</c:v>
                </c:pt>
                <c:pt idx="10">
                  <c:v>108.69967715704045</c:v>
                </c:pt>
                <c:pt idx="11">
                  <c:v>108.00662185294482</c:v>
                </c:pt>
                <c:pt idx="12">
                  <c:v>107.64104580831604</c:v>
                </c:pt>
                <c:pt idx="13">
                  <c:v>108.69518880212277</c:v>
                </c:pt>
                <c:pt idx="14">
                  <c:v>111.2520632779496</c:v>
                </c:pt>
                <c:pt idx="15">
                  <c:v>114.04599878354874</c:v>
                </c:pt>
                <c:pt idx="16">
                  <c:v>116.91640597148668</c:v>
                </c:pt>
                <c:pt idx="17">
                  <c:v>118.99688247262625</c:v>
                </c:pt>
                <c:pt idx="18">
                  <c:v>120.68827069948665</c:v>
                </c:pt>
                <c:pt idx="19">
                  <c:v>124.13056713301998</c:v>
                </c:pt>
              </c:numCache>
            </c:numRef>
          </c:val>
          <c:smooth val="0"/>
          <c:extLst>
            <c:ext xmlns:c16="http://schemas.microsoft.com/office/drawing/2014/chart" uri="{C3380CC4-5D6E-409C-BE32-E72D297353CC}">
              <c16:uniqueId val="{00000003-9B79-4C8A-853C-5C09B800376E}"/>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Output'!$G$5:$G$24</c:f>
              <c:numCache>
                <c:formatCode>"$"#,##0.00</c:formatCode>
                <c:ptCount val="20"/>
                <c:pt idx="0">
                  <c:v>92.222673217963518</c:v>
                </c:pt>
                <c:pt idx="1">
                  <c:v>101.61564570829356</c:v>
                </c:pt>
                <c:pt idx="2">
                  <c:v>108.59205711796353</c:v>
                </c:pt>
                <c:pt idx="3">
                  <c:v>110.4383272476137</c:v>
                </c:pt>
                <c:pt idx="4">
                  <c:v>79.429622291495946</c:v>
                </c:pt>
                <c:pt idx="5">
                  <c:v>80.485168143082561</c:v>
                </c:pt>
                <c:pt idx="6">
                  <c:v>83.297070539605855</c:v>
                </c:pt>
                <c:pt idx="7">
                  <c:v>86.917843978920246</c:v>
                </c:pt>
                <c:pt idx="8">
                  <c:v>90.544767853443929</c:v>
                </c:pt>
                <c:pt idx="9">
                  <c:v>93.708604669807769</c:v>
                </c:pt>
                <c:pt idx="10">
                  <c:v>95.852726665662999</c:v>
                </c:pt>
                <c:pt idx="11">
                  <c:v>95.566735429649896</c:v>
                </c:pt>
                <c:pt idx="12">
                  <c:v>95.509661113698854</c:v>
                </c:pt>
                <c:pt idx="13">
                  <c:v>96.432383515462632</c:v>
                </c:pt>
                <c:pt idx="14">
                  <c:v>98.392042926069223</c:v>
                </c:pt>
                <c:pt idx="15">
                  <c:v>100.51869902739462</c:v>
                </c:pt>
                <c:pt idx="16">
                  <c:v>102.70204382230017</c:v>
                </c:pt>
                <c:pt idx="17">
                  <c:v>104.34659634625449</c:v>
                </c:pt>
                <c:pt idx="18">
                  <c:v>105.72797903546603</c:v>
                </c:pt>
                <c:pt idx="19">
                  <c:v>108.31730734297922</c:v>
                </c:pt>
              </c:numCache>
            </c:numRef>
          </c:val>
          <c:smooth val="0"/>
          <c:extLst>
            <c:ext xmlns:c16="http://schemas.microsoft.com/office/drawing/2014/chart" uri="{C3380CC4-5D6E-409C-BE32-E72D297353CC}">
              <c16:uniqueId val="{00000004-9B79-4C8A-853C-5C09B800376E}"/>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Output'!$H$5:$H$24</c:f>
              <c:numCache>
                <c:formatCode>"$"#,##0.00</c:formatCode>
                <c:ptCount val="20"/>
                <c:pt idx="0">
                  <c:v>79.709002147485819</c:v>
                </c:pt>
                <c:pt idx="1">
                  <c:v>89.076012664640572</c:v>
                </c:pt>
                <c:pt idx="2">
                  <c:v>95.01394514729995</c:v>
                </c:pt>
                <c:pt idx="3">
                  <c:v>95.497211685248715</c:v>
                </c:pt>
                <c:pt idx="4">
                  <c:v>66.841307438789627</c:v>
                </c:pt>
                <c:pt idx="5">
                  <c:v>67.736622815072536</c:v>
                </c:pt>
                <c:pt idx="6">
                  <c:v>69.844851370101978</c:v>
                </c:pt>
                <c:pt idx="7">
                  <c:v>72.513558206926561</c:v>
                </c:pt>
                <c:pt idx="8">
                  <c:v>75.190004620646249</c:v>
                </c:pt>
                <c:pt idx="9">
                  <c:v>77.551112186683838</c:v>
                </c:pt>
                <c:pt idx="10">
                  <c:v>79.213621063994552</c:v>
                </c:pt>
                <c:pt idx="11">
                  <c:v>79.206308938173123</c:v>
                </c:pt>
                <c:pt idx="12">
                  <c:v>79.360437216559362</c:v>
                </c:pt>
                <c:pt idx="13">
                  <c:v>80.193188096582332</c:v>
                </c:pt>
                <c:pt idx="14">
                  <c:v>81.7439895999985</c:v>
                </c:pt>
                <c:pt idx="15">
                  <c:v>83.413821222788556</c:v>
                </c:pt>
                <c:pt idx="16">
                  <c:v>85.126797956866881</c:v>
                </c:pt>
                <c:pt idx="17">
                  <c:v>86.472913660677719</c:v>
                </c:pt>
                <c:pt idx="18">
                  <c:v>87.642064236665846</c:v>
                </c:pt>
                <c:pt idx="19">
                  <c:v>89.647444175803315</c:v>
                </c:pt>
              </c:numCache>
            </c:numRef>
          </c:val>
          <c:smooth val="0"/>
          <c:extLst>
            <c:ext xmlns:c16="http://schemas.microsoft.com/office/drawing/2014/chart" uri="{C3380CC4-5D6E-409C-BE32-E72D297353CC}">
              <c16:uniqueId val="{00000005-9B79-4C8A-853C-5C09B800376E}"/>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PY19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Output'!$C$32:$C$51</c:f>
              <c:numCache>
                <c:formatCode>"$"#,##0.00</c:formatCode>
                <c:ptCount val="20"/>
                <c:pt idx="0">
                  <c:v>0</c:v>
                </c:pt>
                <c:pt idx="1">
                  <c:v>108.1867477075903</c:v>
                </c:pt>
                <c:pt idx="2">
                  <c:v>117.63528223977997</c:v>
                </c:pt>
                <c:pt idx="3">
                  <c:v>124.02783583755695</c:v>
                </c:pt>
                <c:pt idx="4">
                  <c:v>122.50580714052344</c:v>
                </c:pt>
                <c:pt idx="5">
                  <c:v>93.852849833137839</c:v>
                </c:pt>
                <c:pt idx="6">
                  <c:v>96.636917803790226</c:v>
                </c:pt>
                <c:pt idx="7">
                  <c:v>99.933740244154734</c:v>
                </c:pt>
                <c:pt idx="8">
                  <c:v>103.13861729669094</c:v>
                </c:pt>
                <c:pt idx="9">
                  <c:v>106.14802988415305</c:v>
                </c:pt>
                <c:pt idx="10">
                  <c:v>108.14498023722658</c:v>
                </c:pt>
                <c:pt idx="11">
                  <c:v>107.97700169126259</c:v>
                </c:pt>
                <c:pt idx="12">
                  <c:v>108.00936567689774</c:v>
                </c:pt>
                <c:pt idx="13">
                  <c:v>108.89398769395332</c:v>
                </c:pt>
                <c:pt idx="14">
                  <c:v>110.68050739041985</c:v>
                </c:pt>
                <c:pt idx="15">
                  <c:v>112.61371129665545</c:v>
                </c:pt>
                <c:pt idx="16">
                  <c:v>114.59786857394181</c:v>
                </c:pt>
                <c:pt idx="17">
                  <c:v>116.1160415787043</c:v>
                </c:pt>
                <c:pt idx="18">
                  <c:v>117.40754999431464</c:v>
                </c:pt>
                <c:pt idx="19">
                  <c:v>119.74959274908434</c:v>
                </c:pt>
              </c:numCache>
            </c:numRef>
          </c:val>
          <c:smooth val="0"/>
          <c:extLst>
            <c:ext xmlns:c16="http://schemas.microsoft.com/office/drawing/2014/chart" uri="{C3380CC4-5D6E-409C-BE32-E72D297353CC}">
              <c16:uniqueId val="{00000000-BD1E-4D59-B72D-24D59D074461}"/>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Output'!$D$32:$D$51</c:f>
              <c:numCache>
                <c:formatCode>"$"#,##0.00</c:formatCode>
                <c:ptCount val="20"/>
                <c:pt idx="0">
                  <c:v>0</c:v>
                </c:pt>
                <c:pt idx="1">
                  <c:v>76.533910012307231</c:v>
                </c:pt>
                <c:pt idx="2">
                  <c:v>86.854766843185814</c:v>
                </c:pt>
                <c:pt idx="3">
                  <c:v>95.220430402282915</c:v>
                </c:pt>
                <c:pt idx="4">
                  <c:v>92.559874538793409</c:v>
                </c:pt>
                <c:pt idx="5">
                  <c:v>63.948587014300898</c:v>
                </c:pt>
                <c:pt idx="6">
                  <c:v>66.037646911223746</c:v>
                </c:pt>
                <c:pt idx="7">
                  <c:v>68.483259297638241</c:v>
                </c:pt>
                <c:pt idx="8">
                  <c:v>70.869055878192299</c:v>
                </c:pt>
                <c:pt idx="9">
                  <c:v>73.12381653192368</c:v>
                </c:pt>
                <c:pt idx="10">
                  <c:v>74.684973115619727</c:v>
                </c:pt>
                <c:pt idx="11">
                  <c:v>74.758932467007128</c:v>
                </c:pt>
                <c:pt idx="12">
                  <c:v>74.974653976476645</c:v>
                </c:pt>
                <c:pt idx="13">
                  <c:v>75.781166368535537</c:v>
                </c:pt>
                <c:pt idx="14">
                  <c:v>77.212732217499507</c:v>
                </c:pt>
                <c:pt idx="15">
                  <c:v>78.749339645012867</c:v>
                </c:pt>
                <c:pt idx="16">
                  <c:v>80.325142454899378</c:v>
                </c:pt>
                <c:pt idx="17">
                  <c:v>81.584224720108111</c:v>
                </c:pt>
                <c:pt idx="18">
                  <c:v>82.691481825355112</c:v>
                </c:pt>
                <c:pt idx="19">
                  <c:v>84.526564297707495</c:v>
                </c:pt>
              </c:numCache>
            </c:numRef>
          </c:val>
          <c:smooth val="0"/>
          <c:extLst>
            <c:ext xmlns:c16="http://schemas.microsoft.com/office/drawing/2014/chart" uri="{C3380CC4-5D6E-409C-BE32-E72D297353CC}">
              <c16:uniqueId val="{00000001-BD1E-4D59-B72D-24D59D074461}"/>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Output'!$E$32:$E$51</c:f>
              <c:numCache>
                <c:formatCode>"$"#,##0.00</c:formatCode>
                <c:ptCount val="20"/>
                <c:pt idx="0">
                  <c:v>0</c:v>
                </c:pt>
                <c:pt idx="1">
                  <c:v>115.71225833199378</c:v>
                </c:pt>
                <c:pt idx="2">
                  <c:v>126.59389378345809</c:v>
                </c:pt>
                <c:pt idx="3">
                  <c:v>135.85611081620766</c:v>
                </c:pt>
                <c:pt idx="4">
                  <c:v>129.82124696382274</c:v>
                </c:pt>
                <c:pt idx="5">
                  <c:v>103.71595580353338</c:v>
                </c:pt>
                <c:pt idx="6">
                  <c:v>108.46263524538669</c:v>
                </c:pt>
                <c:pt idx="7">
                  <c:v>114.2624055092225</c:v>
                </c:pt>
                <c:pt idx="8">
                  <c:v>119.72768821880611</c:v>
                </c:pt>
                <c:pt idx="9">
                  <c:v>124.71159132922962</c:v>
                </c:pt>
                <c:pt idx="10">
                  <c:v>128.32637543752634</c:v>
                </c:pt>
                <c:pt idx="11">
                  <c:v>127.0446302183162</c:v>
                </c:pt>
                <c:pt idx="12">
                  <c:v>126.23290362710769</c:v>
                </c:pt>
                <c:pt idx="13">
                  <c:v>127.47710509878132</c:v>
                </c:pt>
                <c:pt idx="14">
                  <c:v>130.89766299354926</c:v>
                </c:pt>
                <c:pt idx="15">
                  <c:v>134.65660790837964</c:v>
                </c:pt>
                <c:pt idx="16">
                  <c:v>138.52063436548531</c:v>
                </c:pt>
                <c:pt idx="17">
                  <c:v>141.23153754696145</c:v>
                </c:pt>
                <c:pt idx="18">
                  <c:v>143.37125110625209</c:v>
                </c:pt>
                <c:pt idx="19">
                  <c:v>148.04709717748125</c:v>
                </c:pt>
              </c:numCache>
            </c:numRef>
          </c:val>
          <c:smooth val="0"/>
          <c:extLst>
            <c:ext xmlns:c16="http://schemas.microsoft.com/office/drawing/2014/chart" uri="{C3380CC4-5D6E-409C-BE32-E72D297353CC}">
              <c16:uniqueId val="{00000002-BD1E-4D59-B72D-24D59D074461}"/>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Output'!$F$32:$F$51</c:f>
              <c:numCache>
                <c:formatCode>"$"#,##0.00</c:formatCode>
                <c:ptCount val="20"/>
                <c:pt idx="0">
                  <c:v>0</c:v>
                </c:pt>
                <c:pt idx="1">
                  <c:v>103.02550744034762</c:v>
                </c:pt>
                <c:pt idx="2">
                  <c:v>113.0936677323203</c:v>
                </c:pt>
                <c:pt idx="3">
                  <c:v>121.68087346251301</c:v>
                </c:pt>
                <c:pt idx="4">
                  <c:v>117.71421620091265</c:v>
                </c:pt>
                <c:pt idx="5">
                  <c:v>90.857422969560915</c:v>
                </c:pt>
                <c:pt idx="6">
                  <c:v>94.298069152543803</c:v>
                </c:pt>
                <c:pt idx="7">
                  <c:v>98.467379786201107</c:v>
                </c:pt>
                <c:pt idx="8">
                  <c:v>102.40984376212525</c:v>
                </c:pt>
                <c:pt idx="9">
                  <c:v>106.02437141607557</c:v>
                </c:pt>
                <c:pt idx="10">
                  <c:v>108.69967715704045</c:v>
                </c:pt>
                <c:pt idx="11">
                  <c:v>108.00662185294482</c:v>
                </c:pt>
                <c:pt idx="12">
                  <c:v>107.64104580831604</c:v>
                </c:pt>
                <c:pt idx="13">
                  <c:v>108.69518880212277</c:v>
                </c:pt>
                <c:pt idx="14">
                  <c:v>111.2520632779496</c:v>
                </c:pt>
                <c:pt idx="15">
                  <c:v>114.04599878354874</c:v>
                </c:pt>
                <c:pt idx="16">
                  <c:v>116.91640597148668</c:v>
                </c:pt>
                <c:pt idx="17">
                  <c:v>118.99688247262625</c:v>
                </c:pt>
                <c:pt idx="18">
                  <c:v>120.68827069948665</c:v>
                </c:pt>
                <c:pt idx="19">
                  <c:v>124.13056713301998</c:v>
                </c:pt>
              </c:numCache>
            </c:numRef>
          </c:val>
          <c:smooth val="0"/>
          <c:extLst>
            <c:ext xmlns:c16="http://schemas.microsoft.com/office/drawing/2014/chart" uri="{C3380CC4-5D6E-409C-BE32-E72D297353CC}">
              <c16:uniqueId val="{00000003-BD1E-4D59-B72D-24D59D074461}"/>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Output'!$G$32:$G$51</c:f>
              <c:numCache>
                <c:formatCode>"$"#,##0.00</c:formatCode>
                <c:ptCount val="20"/>
                <c:pt idx="0">
                  <c:v>0</c:v>
                </c:pt>
                <c:pt idx="1">
                  <c:v>94.055645708293554</c:v>
                </c:pt>
                <c:pt idx="2">
                  <c:v>103.04205711796354</c:v>
                </c:pt>
                <c:pt idx="3">
                  <c:v>113.17832724761371</c:v>
                </c:pt>
                <c:pt idx="4">
                  <c:v>108.48962229149593</c:v>
                </c:pt>
                <c:pt idx="5">
                  <c:v>80.485168143082561</c:v>
                </c:pt>
                <c:pt idx="6">
                  <c:v>83.297070539605855</c:v>
                </c:pt>
                <c:pt idx="7">
                  <c:v>86.917843978920246</c:v>
                </c:pt>
                <c:pt idx="8">
                  <c:v>90.544767853443929</c:v>
                </c:pt>
                <c:pt idx="9">
                  <c:v>93.708604669807769</c:v>
                </c:pt>
                <c:pt idx="10">
                  <c:v>95.852726665662999</c:v>
                </c:pt>
                <c:pt idx="11">
                  <c:v>95.566735429649896</c:v>
                </c:pt>
                <c:pt idx="12">
                  <c:v>95.509661113698854</c:v>
                </c:pt>
                <c:pt idx="13">
                  <c:v>96.432383515462632</c:v>
                </c:pt>
                <c:pt idx="14">
                  <c:v>98.392042926069223</c:v>
                </c:pt>
                <c:pt idx="15">
                  <c:v>100.51869902739462</c:v>
                </c:pt>
                <c:pt idx="16">
                  <c:v>102.70204382230017</c:v>
                </c:pt>
                <c:pt idx="17">
                  <c:v>104.34659634625449</c:v>
                </c:pt>
                <c:pt idx="18">
                  <c:v>105.72797903546603</c:v>
                </c:pt>
                <c:pt idx="19">
                  <c:v>108.31730734297922</c:v>
                </c:pt>
              </c:numCache>
            </c:numRef>
          </c:val>
          <c:smooth val="0"/>
          <c:extLst>
            <c:ext xmlns:c16="http://schemas.microsoft.com/office/drawing/2014/chart" uri="{C3380CC4-5D6E-409C-BE32-E72D297353CC}">
              <c16:uniqueId val="{00000004-BD1E-4D59-B72D-24D59D074461}"/>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Output'!$H$32:$H$51</c:f>
              <c:numCache>
                <c:formatCode>"$"#,##0.00</c:formatCode>
                <c:ptCount val="20"/>
                <c:pt idx="0">
                  <c:v>0</c:v>
                </c:pt>
                <c:pt idx="1">
                  <c:v>81.51601266464057</c:v>
                </c:pt>
                <c:pt idx="2">
                  <c:v>89.463945147299953</c:v>
                </c:pt>
                <c:pt idx="3">
                  <c:v>98.237211685248724</c:v>
                </c:pt>
                <c:pt idx="4">
                  <c:v>95.90130743878963</c:v>
                </c:pt>
                <c:pt idx="5">
                  <c:v>67.736622815072536</c:v>
                </c:pt>
                <c:pt idx="6">
                  <c:v>69.844851370101978</c:v>
                </c:pt>
                <c:pt idx="7">
                  <c:v>72.513558206926561</c:v>
                </c:pt>
                <c:pt idx="8">
                  <c:v>75.190004620646249</c:v>
                </c:pt>
                <c:pt idx="9">
                  <c:v>77.551112186683838</c:v>
                </c:pt>
                <c:pt idx="10">
                  <c:v>79.213621063994552</c:v>
                </c:pt>
                <c:pt idx="11">
                  <c:v>79.206308938173123</c:v>
                </c:pt>
                <c:pt idx="12">
                  <c:v>79.360437216559362</c:v>
                </c:pt>
                <c:pt idx="13">
                  <c:v>80.193188096582332</c:v>
                </c:pt>
                <c:pt idx="14">
                  <c:v>81.7439895999985</c:v>
                </c:pt>
                <c:pt idx="15">
                  <c:v>83.413821222788556</c:v>
                </c:pt>
                <c:pt idx="16">
                  <c:v>85.126797956866881</c:v>
                </c:pt>
                <c:pt idx="17">
                  <c:v>86.472913660677719</c:v>
                </c:pt>
                <c:pt idx="18">
                  <c:v>87.642064236665846</c:v>
                </c:pt>
                <c:pt idx="19">
                  <c:v>89.647444175803315</c:v>
                </c:pt>
              </c:numCache>
            </c:numRef>
          </c:val>
          <c:smooth val="0"/>
          <c:extLst>
            <c:ext xmlns:c16="http://schemas.microsoft.com/office/drawing/2014/chart" uri="{C3380CC4-5D6E-409C-BE32-E72D297353CC}">
              <c16:uniqueId val="{00000005-BD1E-4D59-B72D-24D59D07446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PY20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Output'!$C$59:$C$78</c:f>
              <c:numCache>
                <c:formatCode>"$"#,##0.00</c:formatCode>
                <c:ptCount val="20"/>
                <c:pt idx="0">
                  <c:v>0</c:v>
                </c:pt>
                <c:pt idx="1">
                  <c:v>0</c:v>
                </c:pt>
                <c:pt idx="2">
                  <c:v>109.58528223977997</c:v>
                </c:pt>
                <c:pt idx="3">
                  <c:v>118.16783583755694</c:v>
                </c:pt>
                <c:pt idx="4">
                  <c:v>125.41580714052344</c:v>
                </c:pt>
                <c:pt idx="5">
                  <c:v>124.75284983313784</c:v>
                </c:pt>
                <c:pt idx="6">
                  <c:v>96.636917803790226</c:v>
                </c:pt>
                <c:pt idx="7">
                  <c:v>99.933740244154734</c:v>
                </c:pt>
                <c:pt idx="8">
                  <c:v>103.13861729669094</c:v>
                </c:pt>
                <c:pt idx="9">
                  <c:v>106.14802988415305</c:v>
                </c:pt>
                <c:pt idx="10">
                  <c:v>108.14498023722658</c:v>
                </c:pt>
                <c:pt idx="11">
                  <c:v>107.97700169126259</c:v>
                </c:pt>
                <c:pt idx="12">
                  <c:v>108.00936567689774</c:v>
                </c:pt>
                <c:pt idx="13">
                  <c:v>108.89398769395332</c:v>
                </c:pt>
                <c:pt idx="14">
                  <c:v>110.68050739041985</c:v>
                </c:pt>
                <c:pt idx="15">
                  <c:v>112.61371129665545</c:v>
                </c:pt>
                <c:pt idx="16">
                  <c:v>114.59786857394181</c:v>
                </c:pt>
                <c:pt idx="17">
                  <c:v>116.1160415787043</c:v>
                </c:pt>
                <c:pt idx="18">
                  <c:v>117.40754999431464</c:v>
                </c:pt>
                <c:pt idx="19">
                  <c:v>119.74959274908434</c:v>
                </c:pt>
              </c:numCache>
            </c:numRef>
          </c:val>
          <c:smooth val="0"/>
          <c:extLst>
            <c:ext xmlns:c16="http://schemas.microsoft.com/office/drawing/2014/chart" uri="{C3380CC4-5D6E-409C-BE32-E72D297353CC}">
              <c16:uniqueId val="{00000000-BEB0-4C6B-9D27-4E6EE0B3F2F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Output'!$D$59:$D$78</c:f>
              <c:numCache>
                <c:formatCode>"$"#,##0.00</c:formatCode>
                <c:ptCount val="20"/>
                <c:pt idx="0">
                  <c:v>0</c:v>
                </c:pt>
                <c:pt idx="1">
                  <c:v>0</c:v>
                </c:pt>
                <c:pt idx="2">
                  <c:v>78.804766843185803</c:v>
                </c:pt>
                <c:pt idx="3">
                  <c:v>89.36043040228293</c:v>
                </c:pt>
                <c:pt idx="4">
                  <c:v>95.469874538793405</c:v>
                </c:pt>
                <c:pt idx="5">
                  <c:v>94.84858701430089</c:v>
                </c:pt>
                <c:pt idx="6">
                  <c:v>66.037646911223746</c:v>
                </c:pt>
                <c:pt idx="7">
                  <c:v>68.483259297638241</c:v>
                </c:pt>
                <c:pt idx="8">
                  <c:v>70.869055878192299</c:v>
                </c:pt>
                <c:pt idx="9">
                  <c:v>73.12381653192368</c:v>
                </c:pt>
                <c:pt idx="10">
                  <c:v>74.684973115619727</c:v>
                </c:pt>
                <c:pt idx="11">
                  <c:v>74.758932467007128</c:v>
                </c:pt>
                <c:pt idx="12">
                  <c:v>74.974653976476645</c:v>
                </c:pt>
                <c:pt idx="13">
                  <c:v>75.781166368535537</c:v>
                </c:pt>
                <c:pt idx="14">
                  <c:v>77.212732217499507</c:v>
                </c:pt>
                <c:pt idx="15">
                  <c:v>78.749339645012867</c:v>
                </c:pt>
                <c:pt idx="16">
                  <c:v>80.325142454899378</c:v>
                </c:pt>
                <c:pt idx="17">
                  <c:v>81.584224720108111</c:v>
                </c:pt>
                <c:pt idx="18">
                  <c:v>82.691481825355112</c:v>
                </c:pt>
                <c:pt idx="19">
                  <c:v>84.526564297707495</c:v>
                </c:pt>
              </c:numCache>
            </c:numRef>
          </c:val>
          <c:smooth val="0"/>
          <c:extLst>
            <c:ext xmlns:c16="http://schemas.microsoft.com/office/drawing/2014/chart" uri="{C3380CC4-5D6E-409C-BE32-E72D297353CC}">
              <c16:uniqueId val="{00000001-BEB0-4C6B-9D27-4E6EE0B3F2F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Output'!$E$59:$E$78</c:f>
              <c:numCache>
                <c:formatCode>"$"#,##0.00</c:formatCode>
                <c:ptCount val="20"/>
                <c:pt idx="0">
                  <c:v>0</c:v>
                </c:pt>
                <c:pt idx="1">
                  <c:v>0</c:v>
                </c:pt>
                <c:pt idx="2">
                  <c:v>118.54389378345809</c:v>
                </c:pt>
                <c:pt idx="3">
                  <c:v>129.99611081620768</c:v>
                </c:pt>
                <c:pt idx="4">
                  <c:v>132.73124696382274</c:v>
                </c:pt>
                <c:pt idx="5">
                  <c:v>134.61595580353338</c:v>
                </c:pt>
                <c:pt idx="6">
                  <c:v>108.46263524538669</c:v>
                </c:pt>
                <c:pt idx="7">
                  <c:v>114.2624055092225</c:v>
                </c:pt>
                <c:pt idx="8">
                  <c:v>119.72768821880611</c:v>
                </c:pt>
                <c:pt idx="9">
                  <c:v>124.71159132922962</c:v>
                </c:pt>
                <c:pt idx="10">
                  <c:v>128.32637543752634</c:v>
                </c:pt>
                <c:pt idx="11">
                  <c:v>127.0446302183162</c:v>
                </c:pt>
                <c:pt idx="12">
                  <c:v>126.23290362710769</c:v>
                </c:pt>
                <c:pt idx="13">
                  <c:v>127.47710509878132</c:v>
                </c:pt>
                <c:pt idx="14">
                  <c:v>130.89766299354926</c:v>
                </c:pt>
                <c:pt idx="15">
                  <c:v>134.65660790837964</c:v>
                </c:pt>
                <c:pt idx="16">
                  <c:v>138.52063436548531</c:v>
                </c:pt>
                <c:pt idx="17">
                  <c:v>141.23153754696145</c:v>
                </c:pt>
                <c:pt idx="18">
                  <c:v>143.37125110625209</c:v>
                </c:pt>
                <c:pt idx="19">
                  <c:v>148.04709717748125</c:v>
                </c:pt>
              </c:numCache>
            </c:numRef>
          </c:val>
          <c:smooth val="0"/>
          <c:extLst>
            <c:ext xmlns:c16="http://schemas.microsoft.com/office/drawing/2014/chart" uri="{C3380CC4-5D6E-409C-BE32-E72D297353CC}">
              <c16:uniqueId val="{00000002-BEB0-4C6B-9D27-4E6EE0B3F2F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Output'!$F$59:$F$78</c:f>
              <c:numCache>
                <c:formatCode>"$"#,##0.00</c:formatCode>
                <c:ptCount val="20"/>
                <c:pt idx="0">
                  <c:v>0</c:v>
                </c:pt>
                <c:pt idx="1">
                  <c:v>0</c:v>
                </c:pt>
                <c:pt idx="2">
                  <c:v>105.0436677323203</c:v>
                </c:pt>
                <c:pt idx="3">
                  <c:v>115.82087346251299</c:v>
                </c:pt>
                <c:pt idx="4">
                  <c:v>120.62421620091264</c:v>
                </c:pt>
                <c:pt idx="5">
                  <c:v>121.75742296956091</c:v>
                </c:pt>
                <c:pt idx="6">
                  <c:v>94.298069152543803</c:v>
                </c:pt>
                <c:pt idx="7">
                  <c:v>98.467379786201107</c:v>
                </c:pt>
                <c:pt idx="8">
                  <c:v>102.40984376212525</c:v>
                </c:pt>
                <c:pt idx="9">
                  <c:v>106.02437141607557</c:v>
                </c:pt>
                <c:pt idx="10">
                  <c:v>108.69967715704045</c:v>
                </c:pt>
                <c:pt idx="11">
                  <c:v>108.00662185294482</c:v>
                </c:pt>
                <c:pt idx="12">
                  <c:v>107.64104580831604</c:v>
                </c:pt>
                <c:pt idx="13">
                  <c:v>108.69518880212277</c:v>
                </c:pt>
                <c:pt idx="14">
                  <c:v>111.2520632779496</c:v>
                </c:pt>
                <c:pt idx="15">
                  <c:v>114.04599878354874</c:v>
                </c:pt>
                <c:pt idx="16">
                  <c:v>116.91640597148668</c:v>
                </c:pt>
                <c:pt idx="17">
                  <c:v>118.99688247262625</c:v>
                </c:pt>
                <c:pt idx="18">
                  <c:v>120.68827069948665</c:v>
                </c:pt>
                <c:pt idx="19">
                  <c:v>124.13056713301998</c:v>
                </c:pt>
              </c:numCache>
            </c:numRef>
          </c:val>
          <c:smooth val="0"/>
          <c:extLst>
            <c:ext xmlns:c16="http://schemas.microsoft.com/office/drawing/2014/chart" uri="{C3380CC4-5D6E-409C-BE32-E72D297353CC}">
              <c16:uniqueId val="{00000003-BEB0-4C6B-9D27-4E6EE0B3F2F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Output'!$G$59:$G$78</c:f>
              <c:numCache>
                <c:formatCode>"$"#,##0.00</c:formatCode>
                <c:ptCount val="20"/>
                <c:pt idx="0">
                  <c:v>0</c:v>
                </c:pt>
                <c:pt idx="1">
                  <c:v>0</c:v>
                </c:pt>
                <c:pt idx="2">
                  <c:v>94.99205711796354</c:v>
                </c:pt>
                <c:pt idx="3">
                  <c:v>107.31832724761371</c:v>
                </c:pt>
                <c:pt idx="4">
                  <c:v>111.39962229149593</c:v>
                </c:pt>
                <c:pt idx="5">
                  <c:v>111.38516814308255</c:v>
                </c:pt>
                <c:pt idx="6">
                  <c:v>83.297070539605855</c:v>
                </c:pt>
                <c:pt idx="7">
                  <c:v>86.917843978920246</c:v>
                </c:pt>
                <c:pt idx="8">
                  <c:v>90.544767853443929</c:v>
                </c:pt>
                <c:pt idx="9">
                  <c:v>93.708604669807769</c:v>
                </c:pt>
                <c:pt idx="10">
                  <c:v>95.852726665662999</c:v>
                </c:pt>
                <c:pt idx="11">
                  <c:v>95.566735429649896</c:v>
                </c:pt>
                <c:pt idx="12">
                  <c:v>95.509661113698854</c:v>
                </c:pt>
                <c:pt idx="13">
                  <c:v>96.432383515462632</c:v>
                </c:pt>
                <c:pt idx="14">
                  <c:v>98.392042926069223</c:v>
                </c:pt>
                <c:pt idx="15">
                  <c:v>100.51869902739462</c:v>
                </c:pt>
                <c:pt idx="16">
                  <c:v>102.70204382230017</c:v>
                </c:pt>
                <c:pt idx="17">
                  <c:v>104.34659634625449</c:v>
                </c:pt>
                <c:pt idx="18">
                  <c:v>105.72797903546603</c:v>
                </c:pt>
                <c:pt idx="19">
                  <c:v>108.31730734297922</c:v>
                </c:pt>
              </c:numCache>
            </c:numRef>
          </c:val>
          <c:smooth val="0"/>
          <c:extLst>
            <c:ext xmlns:c16="http://schemas.microsoft.com/office/drawing/2014/chart" uri="{C3380CC4-5D6E-409C-BE32-E72D297353CC}">
              <c16:uniqueId val="{00000004-BEB0-4C6B-9D27-4E6EE0B3F2F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Output'!$H$59:$H$78</c:f>
              <c:numCache>
                <c:formatCode>"$"#,##0.00</c:formatCode>
                <c:ptCount val="20"/>
                <c:pt idx="0">
                  <c:v>0</c:v>
                </c:pt>
                <c:pt idx="1">
                  <c:v>0</c:v>
                </c:pt>
                <c:pt idx="2">
                  <c:v>81.413945147299941</c:v>
                </c:pt>
                <c:pt idx="3">
                  <c:v>92.37721168524871</c:v>
                </c:pt>
                <c:pt idx="4">
                  <c:v>98.811307438789626</c:v>
                </c:pt>
                <c:pt idx="5">
                  <c:v>98.636622815072542</c:v>
                </c:pt>
                <c:pt idx="6">
                  <c:v>69.844851370101978</c:v>
                </c:pt>
                <c:pt idx="7">
                  <c:v>72.513558206926561</c:v>
                </c:pt>
                <c:pt idx="8">
                  <c:v>75.190004620646249</c:v>
                </c:pt>
                <c:pt idx="9">
                  <c:v>77.551112186683838</c:v>
                </c:pt>
                <c:pt idx="10">
                  <c:v>79.213621063994552</c:v>
                </c:pt>
                <c:pt idx="11">
                  <c:v>79.206308938173123</c:v>
                </c:pt>
                <c:pt idx="12">
                  <c:v>79.360437216559362</c:v>
                </c:pt>
                <c:pt idx="13">
                  <c:v>80.193188096582332</c:v>
                </c:pt>
                <c:pt idx="14">
                  <c:v>81.7439895999985</c:v>
                </c:pt>
                <c:pt idx="15">
                  <c:v>83.413821222788556</c:v>
                </c:pt>
                <c:pt idx="16">
                  <c:v>85.126797956866881</c:v>
                </c:pt>
                <c:pt idx="17">
                  <c:v>86.472913660677719</c:v>
                </c:pt>
                <c:pt idx="18">
                  <c:v>87.642064236665846</c:v>
                </c:pt>
                <c:pt idx="19">
                  <c:v>89.647444175803315</c:v>
                </c:pt>
              </c:numCache>
            </c:numRef>
          </c:val>
          <c:smooth val="0"/>
          <c:extLst>
            <c:ext xmlns:c16="http://schemas.microsoft.com/office/drawing/2014/chart" uri="{C3380CC4-5D6E-409C-BE32-E72D297353CC}">
              <c16:uniqueId val="{00000005-BEB0-4C6B-9D27-4E6EE0B3F2F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PY21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Output'!$C$86:$C$105</c:f>
              <c:numCache>
                <c:formatCode>"$"#,##0.00</c:formatCode>
                <c:ptCount val="20"/>
                <c:pt idx="0">
                  <c:v>0</c:v>
                </c:pt>
                <c:pt idx="1">
                  <c:v>0</c:v>
                </c:pt>
                <c:pt idx="2">
                  <c:v>0</c:v>
                </c:pt>
                <c:pt idx="3">
                  <c:v>109.66783583755694</c:v>
                </c:pt>
                <c:pt idx="4">
                  <c:v>119.20580714052345</c:v>
                </c:pt>
                <c:pt idx="5">
                  <c:v>127.85284983313784</c:v>
                </c:pt>
                <c:pt idx="6">
                  <c:v>128.72691780379023</c:v>
                </c:pt>
                <c:pt idx="7">
                  <c:v>99.933740244154734</c:v>
                </c:pt>
                <c:pt idx="8">
                  <c:v>103.13861729669094</c:v>
                </c:pt>
                <c:pt idx="9">
                  <c:v>106.14802988415305</c:v>
                </c:pt>
                <c:pt idx="10">
                  <c:v>108.14498023722658</c:v>
                </c:pt>
                <c:pt idx="11">
                  <c:v>107.97700169126259</c:v>
                </c:pt>
                <c:pt idx="12">
                  <c:v>108.00936567689774</c:v>
                </c:pt>
                <c:pt idx="13">
                  <c:v>108.89398769395332</c:v>
                </c:pt>
                <c:pt idx="14">
                  <c:v>110.68050739041985</c:v>
                </c:pt>
                <c:pt idx="15">
                  <c:v>112.61371129665545</c:v>
                </c:pt>
                <c:pt idx="16">
                  <c:v>114.59786857394181</c:v>
                </c:pt>
                <c:pt idx="17">
                  <c:v>116.1160415787043</c:v>
                </c:pt>
                <c:pt idx="18">
                  <c:v>117.40754999431464</c:v>
                </c:pt>
                <c:pt idx="19">
                  <c:v>119.74959274908434</c:v>
                </c:pt>
              </c:numCache>
            </c:numRef>
          </c:val>
          <c:smooth val="0"/>
          <c:extLst>
            <c:ext xmlns:c16="http://schemas.microsoft.com/office/drawing/2014/chart" uri="{C3380CC4-5D6E-409C-BE32-E72D297353CC}">
              <c16:uniqueId val="{00000000-83D6-464B-9054-DEAE2F7CB0B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Output'!$D$86:$D$105</c:f>
              <c:numCache>
                <c:formatCode>"$"#,##0.00</c:formatCode>
                <c:ptCount val="20"/>
                <c:pt idx="0">
                  <c:v>0</c:v>
                </c:pt>
                <c:pt idx="1">
                  <c:v>0</c:v>
                </c:pt>
                <c:pt idx="2">
                  <c:v>0</c:v>
                </c:pt>
                <c:pt idx="3">
                  <c:v>80.860430402282915</c:v>
                </c:pt>
                <c:pt idx="4">
                  <c:v>89.259874538793412</c:v>
                </c:pt>
                <c:pt idx="5">
                  <c:v>97.948587014300898</c:v>
                </c:pt>
                <c:pt idx="6">
                  <c:v>98.127646911223735</c:v>
                </c:pt>
                <c:pt idx="7">
                  <c:v>68.483259297638241</c:v>
                </c:pt>
                <c:pt idx="8">
                  <c:v>70.869055878192299</c:v>
                </c:pt>
                <c:pt idx="9">
                  <c:v>73.12381653192368</c:v>
                </c:pt>
                <c:pt idx="10">
                  <c:v>74.684973115619727</c:v>
                </c:pt>
                <c:pt idx="11">
                  <c:v>74.758932467007128</c:v>
                </c:pt>
                <c:pt idx="12">
                  <c:v>74.974653976476645</c:v>
                </c:pt>
                <c:pt idx="13">
                  <c:v>75.781166368535537</c:v>
                </c:pt>
                <c:pt idx="14">
                  <c:v>77.212732217499507</c:v>
                </c:pt>
                <c:pt idx="15">
                  <c:v>78.749339645012867</c:v>
                </c:pt>
                <c:pt idx="16">
                  <c:v>80.325142454899378</c:v>
                </c:pt>
                <c:pt idx="17">
                  <c:v>81.584224720108111</c:v>
                </c:pt>
                <c:pt idx="18">
                  <c:v>82.691481825355112</c:v>
                </c:pt>
                <c:pt idx="19">
                  <c:v>84.526564297707495</c:v>
                </c:pt>
              </c:numCache>
            </c:numRef>
          </c:val>
          <c:smooth val="0"/>
          <c:extLst>
            <c:ext xmlns:c16="http://schemas.microsoft.com/office/drawing/2014/chart" uri="{C3380CC4-5D6E-409C-BE32-E72D297353CC}">
              <c16:uniqueId val="{00000001-83D6-464B-9054-DEAE2F7CB0B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Output'!$E$86:$E$105</c:f>
              <c:numCache>
                <c:formatCode>"$"#,##0.00</c:formatCode>
                <c:ptCount val="20"/>
                <c:pt idx="0">
                  <c:v>0</c:v>
                </c:pt>
                <c:pt idx="1">
                  <c:v>0</c:v>
                </c:pt>
                <c:pt idx="2">
                  <c:v>0</c:v>
                </c:pt>
                <c:pt idx="3">
                  <c:v>121.49611081620766</c:v>
                </c:pt>
                <c:pt idx="4">
                  <c:v>126.52124696382275</c:v>
                </c:pt>
                <c:pt idx="5">
                  <c:v>137.71595580353338</c:v>
                </c:pt>
                <c:pt idx="6">
                  <c:v>140.55263524538671</c:v>
                </c:pt>
                <c:pt idx="7">
                  <c:v>114.2624055092225</c:v>
                </c:pt>
                <c:pt idx="8">
                  <c:v>119.72768821880611</c:v>
                </c:pt>
                <c:pt idx="9">
                  <c:v>124.71159132922962</c:v>
                </c:pt>
                <c:pt idx="10">
                  <c:v>128.32637543752634</c:v>
                </c:pt>
                <c:pt idx="11">
                  <c:v>127.0446302183162</c:v>
                </c:pt>
                <c:pt idx="12">
                  <c:v>126.23290362710769</c:v>
                </c:pt>
                <c:pt idx="13">
                  <c:v>127.47710509878132</c:v>
                </c:pt>
                <c:pt idx="14">
                  <c:v>130.89766299354926</c:v>
                </c:pt>
                <c:pt idx="15">
                  <c:v>134.65660790837964</c:v>
                </c:pt>
                <c:pt idx="16">
                  <c:v>138.52063436548531</c:v>
                </c:pt>
                <c:pt idx="17">
                  <c:v>141.23153754696145</c:v>
                </c:pt>
                <c:pt idx="18">
                  <c:v>143.37125110625209</c:v>
                </c:pt>
                <c:pt idx="19">
                  <c:v>148.04709717748125</c:v>
                </c:pt>
              </c:numCache>
            </c:numRef>
          </c:val>
          <c:smooth val="0"/>
          <c:extLst>
            <c:ext xmlns:c16="http://schemas.microsoft.com/office/drawing/2014/chart" uri="{C3380CC4-5D6E-409C-BE32-E72D297353CC}">
              <c16:uniqueId val="{00000002-83D6-464B-9054-DEAE2F7CB0B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Output'!$F$86:$F$105</c:f>
              <c:numCache>
                <c:formatCode>"$"#,##0.00</c:formatCode>
                <c:ptCount val="20"/>
                <c:pt idx="0">
                  <c:v>0</c:v>
                </c:pt>
                <c:pt idx="1">
                  <c:v>0</c:v>
                </c:pt>
                <c:pt idx="2">
                  <c:v>0</c:v>
                </c:pt>
                <c:pt idx="3">
                  <c:v>107.32087346251299</c:v>
                </c:pt>
                <c:pt idx="4">
                  <c:v>114.41421620091265</c:v>
                </c:pt>
                <c:pt idx="5">
                  <c:v>124.85742296956091</c:v>
                </c:pt>
                <c:pt idx="6">
                  <c:v>126.38806915254381</c:v>
                </c:pt>
                <c:pt idx="7">
                  <c:v>98.467379786201107</c:v>
                </c:pt>
                <c:pt idx="8">
                  <c:v>102.40984376212525</c:v>
                </c:pt>
                <c:pt idx="9">
                  <c:v>106.02437141607557</c:v>
                </c:pt>
                <c:pt idx="10">
                  <c:v>108.69967715704045</c:v>
                </c:pt>
                <c:pt idx="11">
                  <c:v>108.00662185294482</c:v>
                </c:pt>
                <c:pt idx="12">
                  <c:v>107.64104580831604</c:v>
                </c:pt>
                <c:pt idx="13">
                  <c:v>108.69518880212277</c:v>
                </c:pt>
                <c:pt idx="14">
                  <c:v>111.2520632779496</c:v>
                </c:pt>
                <c:pt idx="15">
                  <c:v>114.04599878354874</c:v>
                </c:pt>
                <c:pt idx="16">
                  <c:v>116.91640597148668</c:v>
                </c:pt>
                <c:pt idx="17">
                  <c:v>118.99688247262625</c:v>
                </c:pt>
                <c:pt idx="18">
                  <c:v>120.68827069948665</c:v>
                </c:pt>
                <c:pt idx="19">
                  <c:v>124.13056713301998</c:v>
                </c:pt>
              </c:numCache>
            </c:numRef>
          </c:val>
          <c:smooth val="0"/>
          <c:extLst>
            <c:ext xmlns:c16="http://schemas.microsoft.com/office/drawing/2014/chart" uri="{C3380CC4-5D6E-409C-BE32-E72D297353CC}">
              <c16:uniqueId val="{00000003-83D6-464B-9054-DEAE2F7CB0B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Output'!$G$86:$G$105</c:f>
              <c:numCache>
                <c:formatCode>"$"#,##0.00</c:formatCode>
                <c:ptCount val="20"/>
                <c:pt idx="0">
                  <c:v>0</c:v>
                </c:pt>
                <c:pt idx="1">
                  <c:v>0</c:v>
                </c:pt>
                <c:pt idx="2">
                  <c:v>0</c:v>
                </c:pt>
                <c:pt idx="3">
                  <c:v>98.818327247613709</c:v>
                </c:pt>
                <c:pt idx="4">
                  <c:v>105.18962229149594</c:v>
                </c:pt>
                <c:pt idx="5">
                  <c:v>114.48516814308255</c:v>
                </c:pt>
                <c:pt idx="6">
                  <c:v>115.38707053960586</c:v>
                </c:pt>
                <c:pt idx="7">
                  <c:v>86.917843978920246</c:v>
                </c:pt>
                <c:pt idx="8">
                  <c:v>90.544767853443929</c:v>
                </c:pt>
                <c:pt idx="9">
                  <c:v>93.708604669807769</c:v>
                </c:pt>
                <c:pt idx="10">
                  <c:v>95.852726665662999</c:v>
                </c:pt>
                <c:pt idx="11">
                  <c:v>95.566735429649896</c:v>
                </c:pt>
                <c:pt idx="12">
                  <c:v>95.509661113698854</c:v>
                </c:pt>
                <c:pt idx="13">
                  <c:v>96.432383515462632</c:v>
                </c:pt>
                <c:pt idx="14">
                  <c:v>98.392042926069223</c:v>
                </c:pt>
                <c:pt idx="15">
                  <c:v>100.51869902739462</c:v>
                </c:pt>
                <c:pt idx="16">
                  <c:v>102.70204382230017</c:v>
                </c:pt>
                <c:pt idx="17">
                  <c:v>104.34659634625449</c:v>
                </c:pt>
                <c:pt idx="18">
                  <c:v>105.72797903546603</c:v>
                </c:pt>
                <c:pt idx="19">
                  <c:v>108.31730734297922</c:v>
                </c:pt>
              </c:numCache>
            </c:numRef>
          </c:val>
          <c:smooth val="0"/>
          <c:extLst>
            <c:ext xmlns:c16="http://schemas.microsoft.com/office/drawing/2014/chart" uri="{C3380CC4-5D6E-409C-BE32-E72D297353CC}">
              <c16:uniqueId val="{00000004-83D6-464B-9054-DEAE2F7CB0B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Output'!$H$86:$H$105</c:f>
              <c:numCache>
                <c:formatCode>"$"#,##0.00</c:formatCode>
                <c:ptCount val="20"/>
                <c:pt idx="0">
                  <c:v>0</c:v>
                </c:pt>
                <c:pt idx="1">
                  <c:v>0</c:v>
                </c:pt>
                <c:pt idx="2">
                  <c:v>0</c:v>
                </c:pt>
                <c:pt idx="3">
                  <c:v>83.87721168524871</c:v>
                </c:pt>
                <c:pt idx="4">
                  <c:v>92.601307438789632</c:v>
                </c:pt>
                <c:pt idx="5">
                  <c:v>101.73662281507254</c:v>
                </c:pt>
                <c:pt idx="6">
                  <c:v>101.93485137010197</c:v>
                </c:pt>
                <c:pt idx="7">
                  <c:v>72.513558206926561</c:v>
                </c:pt>
                <c:pt idx="8">
                  <c:v>75.190004620646249</c:v>
                </c:pt>
                <c:pt idx="9">
                  <c:v>77.551112186683838</c:v>
                </c:pt>
                <c:pt idx="10">
                  <c:v>79.213621063994552</c:v>
                </c:pt>
                <c:pt idx="11">
                  <c:v>79.206308938173123</c:v>
                </c:pt>
                <c:pt idx="12">
                  <c:v>79.360437216559362</c:v>
                </c:pt>
                <c:pt idx="13">
                  <c:v>80.193188096582332</c:v>
                </c:pt>
                <c:pt idx="14">
                  <c:v>81.7439895999985</c:v>
                </c:pt>
                <c:pt idx="15">
                  <c:v>83.413821222788556</c:v>
                </c:pt>
                <c:pt idx="16">
                  <c:v>85.126797956866881</c:v>
                </c:pt>
                <c:pt idx="17">
                  <c:v>86.472913660677719</c:v>
                </c:pt>
                <c:pt idx="18">
                  <c:v>87.642064236665846</c:v>
                </c:pt>
                <c:pt idx="19">
                  <c:v>89.647444175803315</c:v>
                </c:pt>
              </c:numCache>
            </c:numRef>
          </c:val>
          <c:smooth val="0"/>
          <c:extLst>
            <c:ext xmlns:c16="http://schemas.microsoft.com/office/drawing/2014/chart" uri="{C3380CC4-5D6E-409C-BE32-E72D297353CC}">
              <c16:uniqueId val="{00000005-83D6-464B-9054-DEAE2F7CB0B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30307</xdr:colOff>
      <xdr:row>1</xdr:row>
      <xdr:rowOff>157595</xdr:rowOff>
    </xdr:from>
    <xdr:to>
      <xdr:col>18</xdr:col>
      <xdr:colOff>83012</xdr:colOff>
      <xdr:row>31</xdr:row>
      <xdr:rowOff>92305</xdr:rowOff>
    </xdr:to>
    <xdr:pic>
      <xdr:nvPicPr>
        <xdr:cNvPr id="3" name="Picture 2">
          <a:extLst>
            <a:ext uri="{FF2B5EF4-FFF2-40B4-BE49-F238E27FC236}">
              <a16:creationId xmlns:a16="http://schemas.microsoft.com/office/drawing/2014/main" id="{E4EADFC4-1F3B-4EB1-84E8-A149518C1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0148" y="322118"/>
          <a:ext cx="7929303" cy="595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2</xdr:row>
      <xdr:rowOff>0</xdr:rowOff>
    </xdr:from>
    <xdr:to>
      <xdr:col>27</xdr:col>
      <xdr:colOff>158752</xdr:colOff>
      <xdr:row>24</xdr:row>
      <xdr:rowOff>34926</xdr:rowOff>
    </xdr:to>
    <xdr:graphicFrame macro="">
      <xdr:nvGraphicFramePr>
        <xdr:cNvPr id="2" name="Chart 1">
          <a:extLst>
            <a:ext uri="{FF2B5EF4-FFF2-40B4-BE49-F238E27FC236}">
              <a16:creationId xmlns:a16="http://schemas.microsoft.com/office/drawing/2014/main" id="{967487A2-0BFB-4AD0-9C7F-4106B1DB4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29</xdr:row>
      <xdr:rowOff>0</xdr:rowOff>
    </xdr:from>
    <xdr:to>
      <xdr:col>27</xdr:col>
      <xdr:colOff>158752</xdr:colOff>
      <xdr:row>50</xdr:row>
      <xdr:rowOff>56092</xdr:rowOff>
    </xdr:to>
    <xdr:graphicFrame macro="">
      <xdr:nvGraphicFramePr>
        <xdr:cNvPr id="3" name="Chart 1">
          <a:extLst>
            <a:ext uri="{FF2B5EF4-FFF2-40B4-BE49-F238E27FC236}">
              <a16:creationId xmlns:a16="http://schemas.microsoft.com/office/drawing/2014/main" id="{3FDCB54C-7B23-45A3-AAD4-A248568EE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56</xdr:row>
      <xdr:rowOff>0</xdr:rowOff>
    </xdr:from>
    <xdr:to>
      <xdr:col>27</xdr:col>
      <xdr:colOff>158752</xdr:colOff>
      <xdr:row>79</xdr:row>
      <xdr:rowOff>44450</xdr:rowOff>
    </xdr:to>
    <xdr:graphicFrame macro="">
      <xdr:nvGraphicFramePr>
        <xdr:cNvPr id="4" name="Chart 1">
          <a:extLst>
            <a:ext uri="{FF2B5EF4-FFF2-40B4-BE49-F238E27FC236}">
              <a16:creationId xmlns:a16="http://schemas.microsoft.com/office/drawing/2014/main" id="{B028896F-B9A2-4C5A-8453-7F8895561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83</xdr:row>
      <xdr:rowOff>0</xdr:rowOff>
    </xdr:from>
    <xdr:to>
      <xdr:col>27</xdr:col>
      <xdr:colOff>158752</xdr:colOff>
      <xdr:row>106</xdr:row>
      <xdr:rowOff>44450</xdr:rowOff>
    </xdr:to>
    <xdr:graphicFrame macro="">
      <xdr:nvGraphicFramePr>
        <xdr:cNvPr id="5" name="Chart 1">
          <a:extLst>
            <a:ext uri="{FF2B5EF4-FFF2-40B4-BE49-F238E27FC236}">
              <a16:creationId xmlns:a16="http://schemas.microsoft.com/office/drawing/2014/main" id="{514E5EE0-E85F-482B-A84F-53D33117C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110</xdr:row>
      <xdr:rowOff>0</xdr:rowOff>
    </xdr:from>
    <xdr:to>
      <xdr:col>27</xdr:col>
      <xdr:colOff>158752</xdr:colOff>
      <xdr:row>133</xdr:row>
      <xdr:rowOff>76200</xdr:rowOff>
    </xdr:to>
    <xdr:graphicFrame macro="">
      <xdr:nvGraphicFramePr>
        <xdr:cNvPr id="6" name="Chart 1">
          <a:extLst>
            <a:ext uri="{FF2B5EF4-FFF2-40B4-BE49-F238E27FC236}">
              <a16:creationId xmlns:a16="http://schemas.microsoft.com/office/drawing/2014/main" id="{954A8366-6805-4D78-9B1F-434AC0076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0</xdr:colOff>
      <xdr:row>2</xdr:row>
      <xdr:rowOff>0</xdr:rowOff>
    </xdr:from>
    <xdr:to>
      <xdr:col>27</xdr:col>
      <xdr:colOff>158752</xdr:colOff>
      <xdr:row>24</xdr:row>
      <xdr:rowOff>34926</xdr:rowOff>
    </xdr:to>
    <xdr:graphicFrame macro="">
      <xdr:nvGraphicFramePr>
        <xdr:cNvPr id="2" name="Chart 1">
          <a:extLst>
            <a:ext uri="{FF2B5EF4-FFF2-40B4-BE49-F238E27FC236}">
              <a16:creationId xmlns:a16="http://schemas.microsoft.com/office/drawing/2014/main" id="{A32E1763-F2BC-467D-83E4-55CBEA5E6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29</xdr:row>
      <xdr:rowOff>0</xdr:rowOff>
    </xdr:from>
    <xdr:to>
      <xdr:col>27</xdr:col>
      <xdr:colOff>158752</xdr:colOff>
      <xdr:row>50</xdr:row>
      <xdr:rowOff>56092</xdr:rowOff>
    </xdr:to>
    <xdr:graphicFrame macro="">
      <xdr:nvGraphicFramePr>
        <xdr:cNvPr id="3" name="Chart 1">
          <a:extLst>
            <a:ext uri="{FF2B5EF4-FFF2-40B4-BE49-F238E27FC236}">
              <a16:creationId xmlns:a16="http://schemas.microsoft.com/office/drawing/2014/main" id="{6999FDB4-3C6A-4814-B671-4E948D630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56</xdr:row>
      <xdr:rowOff>0</xdr:rowOff>
    </xdr:from>
    <xdr:to>
      <xdr:col>27</xdr:col>
      <xdr:colOff>158752</xdr:colOff>
      <xdr:row>79</xdr:row>
      <xdr:rowOff>44450</xdr:rowOff>
    </xdr:to>
    <xdr:graphicFrame macro="">
      <xdr:nvGraphicFramePr>
        <xdr:cNvPr id="4" name="Chart 1">
          <a:extLst>
            <a:ext uri="{FF2B5EF4-FFF2-40B4-BE49-F238E27FC236}">
              <a16:creationId xmlns:a16="http://schemas.microsoft.com/office/drawing/2014/main" id="{ADB22158-7961-461E-BC40-291BD097D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83</xdr:row>
      <xdr:rowOff>0</xdr:rowOff>
    </xdr:from>
    <xdr:to>
      <xdr:col>27</xdr:col>
      <xdr:colOff>158752</xdr:colOff>
      <xdr:row>106</xdr:row>
      <xdr:rowOff>44450</xdr:rowOff>
    </xdr:to>
    <xdr:graphicFrame macro="">
      <xdr:nvGraphicFramePr>
        <xdr:cNvPr id="5" name="Chart 1">
          <a:extLst>
            <a:ext uri="{FF2B5EF4-FFF2-40B4-BE49-F238E27FC236}">
              <a16:creationId xmlns:a16="http://schemas.microsoft.com/office/drawing/2014/main" id="{233A6E7F-B395-4347-87A9-0217649DD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110</xdr:row>
      <xdr:rowOff>0</xdr:rowOff>
    </xdr:from>
    <xdr:to>
      <xdr:col>27</xdr:col>
      <xdr:colOff>158752</xdr:colOff>
      <xdr:row>133</xdr:row>
      <xdr:rowOff>76200</xdr:rowOff>
    </xdr:to>
    <xdr:graphicFrame macro="">
      <xdr:nvGraphicFramePr>
        <xdr:cNvPr id="6" name="Chart 1">
          <a:extLst>
            <a:ext uri="{FF2B5EF4-FFF2-40B4-BE49-F238E27FC236}">
              <a16:creationId xmlns:a16="http://schemas.microsoft.com/office/drawing/2014/main" id="{950E0B3F-C8E9-42E3-88B5-0CD11D1E0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222246</xdr:colOff>
      <xdr:row>6</xdr:row>
      <xdr:rowOff>25400</xdr:rowOff>
    </xdr:from>
    <xdr:to>
      <xdr:col>23</xdr:col>
      <xdr:colOff>316363</xdr:colOff>
      <xdr:row>24</xdr:row>
      <xdr:rowOff>114300</xdr:rowOff>
    </xdr:to>
    <xdr:pic>
      <xdr:nvPicPr>
        <xdr:cNvPr id="2" name="Picture 1">
          <a:extLst>
            <a:ext uri="{FF2B5EF4-FFF2-40B4-BE49-F238E27FC236}">
              <a16:creationId xmlns:a16="http://schemas.microsoft.com/office/drawing/2014/main" id="{F7F8214A-3937-47A4-A7AC-3BC7EE8EBC0C}"/>
            </a:ext>
          </a:extLst>
        </xdr:cNvPr>
        <xdr:cNvPicPr>
          <a:picLocks noChangeAspect="1"/>
        </xdr:cNvPicPr>
      </xdr:nvPicPr>
      <xdr:blipFill>
        <a:blip xmlns:r="http://schemas.openxmlformats.org/officeDocument/2006/relationships" r:embed="rId1"/>
        <a:stretch>
          <a:fillRect/>
        </a:stretch>
      </xdr:blipFill>
      <xdr:spPr>
        <a:xfrm>
          <a:off x="6242046" y="1130300"/>
          <a:ext cx="6795907" cy="3403600"/>
        </a:xfrm>
        <a:prstGeom prst="rect">
          <a:avLst/>
        </a:prstGeom>
      </xdr:spPr>
    </xdr:pic>
    <xdr:clientData/>
  </xdr:twoCellAnchor>
  <xdr:twoCellAnchor editAs="oneCell">
    <xdr:from>
      <xdr:col>24</xdr:col>
      <xdr:colOff>82550</xdr:colOff>
      <xdr:row>5</xdr:row>
      <xdr:rowOff>152399</xdr:rowOff>
    </xdr:from>
    <xdr:to>
      <xdr:col>34</xdr:col>
      <xdr:colOff>294537</xdr:colOff>
      <xdr:row>23</xdr:row>
      <xdr:rowOff>66039</xdr:rowOff>
    </xdr:to>
    <xdr:pic>
      <xdr:nvPicPr>
        <xdr:cNvPr id="3" name="Picture 2">
          <a:extLst>
            <a:ext uri="{FF2B5EF4-FFF2-40B4-BE49-F238E27FC236}">
              <a16:creationId xmlns:a16="http://schemas.microsoft.com/office/drawing/2014/main" id="{9F6ADDA5-79A0-42A8-A698-006C2C77CF8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3831"/>
        <a:stretch/>
      </xdr:blipFill>
      <xdr:spPr bwMode="auto">
        <a:xfrm>
          <a:off x="13417550" y="1073149"/>
          <a:ext cx="6311797" cy="323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497204</xdr:colOff>
      <xdr:row>23</xdr:row>
      <xdr:rowOff>129540</xdr:rowOff>
    </xdr:from>
    <xdr:to>
      <xdr:col>36</xdr:col>
      <xdr:colOff>349807</xdr:colOff>
      <xdr:row>44</xdr:row>
      <xdr:rowOff>152400</xdr:rowOff>
    </xdr:to>
    <xdr:pic>
      <xdr:nvPicPr>
        <xdr:cNvPr id="4" name="Picture 3">
          <a:extLst>
            <a:ext uri="{FF2B5EF4-FFF2-40B4-BE49-F238E27FC236}">
              <a16:creationId xmlns:a16="http://schemas.microsoft.com/office/drawing/2014/main" id="{6445BADB-8F8B-4704-84DE-4E6EF047BB43}"/>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0789"/>
        <a:stretch/>
      </xdr:blipFill>
      <xdr:spPr bwMode="auto">
        <a:xfrm>
          <a:off x="14889479" y="4291965"/>
          <a:ext cx="7783753" cy="385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19050</xdr:colOff>
      <xdr:row>6</xdr:row>
      <xdr:rowOff>1</xdr:rowOff>
    </xdr:from>
    <xdr:to>
      <xdr:col>48</xdr:col>
      <xdr:colOff>93329</xdr:colOff>
      <xdr:row>23</xdr:row>
      <xdr:rowOff>19050</xdr:rowOff>
    </xdr:to>
    <xdr:pic>
      <xdr:nvPicPr>
        <xdr:cNvPr id="5" name="Picture 4">
          <a:extLst>
            <a:ext uri="{FF2B5EF4-FFF2-40B4-BE49-F238E27FC236}">
              <a16:creationId xmlns:a16="http://schemas.microsoft.com/office/drawing/2014/main" id="{DF8ACF2D-AFFE-4290-98E6-F14CA8F2D768}"/>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53269"/>
        <a:stretch/>
      </xdr:blipFill>
      <xdr:spPr bwMode="auto">
        <a:xfrm>
          <a:off x="21888450" y="1104901"/>
          <a:ext cx="6164564" cy="314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447838</xdr:colOff>
      <xdr:row>25</xdr:row>
      <xdr:rowOff>142876</xdr:rowOff>
    </xdr:from>
    <xdr:to>
      <xdr:col>48</xdr:col>
      <xdr:colOff>142204</xdr:colOff>
      <xdr:row>42</xdr:row>
      <xdr:rowOff>152400</xdr:rowOff>
    </xdr:to>
    <xdr:pic>
      <xdr:nvPicPr>
        <xdr:cNvPr id="6" name="Picture 5">
          <a:extLst>
            <a:ext uri="{FF2B5EF4-FFF2-40B4-BE49-F238E27FC236}">
              <a16:creationId xmlns:a16="http://schemas.microsoft.com/office/drawing/2014/main" id="{9FAF092B-D3C0-4BF2-AEB7-1CB2C7463D34}"/>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46260"/>
        <a:stretch/>
      </xdr:blipFill>
      <xdr:spPr bwMode="auto">
        <a:xfrm>
          <a:off x="21707638" y="4746626"/>
          <a:ext cx="6403776" cy="3171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152399</xdr:colOff>
      <xdr:row>3</xdr:row>
      <xdr:rowOff>165099</xdr:rowOff>
    </xdr:from>
    <xdr:to>
      <xdr:col>72</xdr:col>
      <xdr:colOff>34926</xdr:colOff>
      <xdr:row>24</xdr:row>
      <xdr:rowOff>17781</xdr:rowOff>
    </xdr:to>
    <xdr:pic>
      <xdr:nvPicPr>
        <xdr:cNvPr id="7" name="Picture 6">
          <a:extLst>
            <a:ext uri="{FF2B5EF4-FFF2-40B4-BE49-F238E27FC236}">
              <a16:creationId xmlns:a16="http://schemas.microsoft.com/office/drawing/2014/main" id="{2131D732-BB0A-4152-95BB-0E1ACF072C28}"/>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 b="49307"/>
        <a:stretch/>
      </xdr:blipFill>
      <xdr:spPr bwMode="auto">
        <a:xfrm>
          <a:off x="36042599" y="717549"/>
          <a:ext cx="6588127" cy="3727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252452</xdr:colOff>
      <xdr:row>26</xdr:row>
      <xdr:rowOff>47625</xdr:rowOff>
    </xdr:from>
    <xdr:to>
      <xdr:col>61</xdr:col>
      <xdr:colOff>117050</xdr:colOff>
      <xdr:row>41</xdr:row>
      <xdr:rowOff>85725</xdr:rowOff>
    </xdr:to>
    <xdr:pic>
      <xdr:nvPicPr>
        <xdr:cNvPr id="8" name="Picture 7">
          <a:extLst>
            <a:ext uri="{FF2B5EF4-FFF2-40B4-BE49-F238E27FC236}">
              <a16:creationId xmlns:a16="http://schemas.microsoft.com/office/drawing/2014/main" id="{915CA0F5-349A-4377-BF12-E34FDDDA69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827452" y="4835525"/>
          <a:ext cx="7179798"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28575</xdr:colOff>
      <xdr:row>5</xdr:row>
      <xdr:rowOff>0</xdr:rowOff>
    </xdr:from>
    <xdr:to>
      <xdr:col>56</xdr:col>
      <xdr:colOff>436880</xdr:colOff>
      <xdr:row>24</xdr:row>
      <xdr:rowOff>107371</xdr:rowOff>
    </xdr:to>
    <xdr:pic>
      <xdr:nvPicPr>
        <xdr:cNvPr id="9" name="Picture 8">
          <a:extLst>
            <a:ext uri="{FF2B5EF4-FFF2-40B4-BE49-F238E27FC236}">
              <a16:creationId xmlns:a16="http://schemas.microsoft.com/office/drawing/2014/main" id="{DADFFEAA-5311-44F5-B35C-579019A2AAAB}"/>
            </a:ext>
          </a:extLst>
        </xdr:cNvPr>
        <xdr:cNvPicPr>
          <a:picLocks noChangeAspect="1"/>
        </xdr:cNvPicPr>
      </xdr:nvPicPr>
      <xdr:blipFill>
        <a:blip xmlns:r="http://schemas.openxmlformats.org/officeDocument/2006/relationships" r:embed="rId8"/>
        <a:stretch>
          <a:fillRect/>
        </a:stretch>
      </xdr:blipFill>
      <xdr:spPr>
        <a:xfrm>
          <a:off x="28603575" y="920750"/>
          <a:ext cx="4683125" cy="3603681"/>
        </a:xfrm>
        <a:prstGeom prst="rect">
          <a:avLst/>
        </a:prstGeom>
      </xdr:spPr>
    </xdr:pic>
    <xdr:clientData/>
  </xdr:twoCellAnchor>
  <xdr:twoCellAnchor editAs="oneCell">
    <xdr:from>
      <xdr:col>12</xdr:col>
      <xdr:colOff>193040</xdr:colOff>
      <xdr:row>26</xdr:row>
      <xdr:rowOff>38735</xdr:rowOff>
    </xdr:from>
    <xdr:to>
      <xdr:col>23</xdr:col>
      <xdr:colOff>421006</xdr:colOff>
      <xdr:row>44</xdr:row>
      <xdr:rowOff>38735</xdr:rowOff>
    </xdr:to>
    <xdr:pic>
      <xdr:nvPicPr>
        <xdr:cNvPr id="10" name="Picture 9">
          <a:extLst>
            <a:ext uri="{FF2B5EF4-FFF2-40B4-BE49-F238E27FC236}">
              <a16:creationId xmlns:a16="http://schemas.microsoft.com/office/drawing/2014/main" id="{82A2D814-409B-43EF-9800-E6BF94C4B636}"/>
            </a:ext>
          </a:extLst>
        </xdr:cNvPr>
        <xdr:cNvPicPr>
          <a:picLocks noChangeAspect="1"/>
        </xdr:cNvPicPr>
      </xdr:nvPicPr>
      <xdr:blipFill>
        <a:blip xmlns:r="http://schemas.openxmlformats.org/officeDocument/2006/relationships" r:embed="rId9"/>
        <a:stretch>
          <a:fillRect/>
        </a:stretch>
      </xdr:blipFill>
      <xdr:spPr>
        <a:xfrm>
          <a:off x="7879715" y="4744085"/>
          <a:ext cx="6933566" cy="3286125"/>
        </a:xfrm>
        <a:prstGeom prst="rect">
          <a:avLst/>
        </a:prstGeom>
      </xdr:spPr>
    </xdr:pic>
    <xdr:clientData/>
  </xdr:twoCellAnchor>
  <xdr:twoCellAnchor editAs="oneCell">
    <xdr:from>
      <xdr:col>13</xdr:col>
      <xdr:colOff>0</xdr:colOff>
      <xdr:row>48</xdr:row>
      <xdr:rowOff>0</xdr:rowOff>
    </xdr:from>
    <xdr:to>
      <xdr:col>23</xdr:col>
      <xdr:colOff>353325</xdr:colOff>
      <xdr:row>77</xdr:row>
      <xdr:rowOff>45202</xdr:rowOff>
    </xdr:to>
    <xdr:pic>
      <xdr:nvPicPr>
        <xdr:cNvPr id="11" name="Picture 10">
          <a:extLst>
            <a:ext uri="{FF2B5EF4-FFF2-40B4-BE49-F238E27FC236}">
              <a16:creationId xmlns:a16="http://schemas.microsoft.com/office/drawing/2014/main" id="{9DF17122-4F5A-3555-401E-60F4B50670EA}"/>
            </a:ext>
          </a:extLst>
        </xdr:cNvPr>
        <xdr:cNvPicPr>
          <a:picLocks noChangeAspect="1"/>
        </xdr:cNvPicPr>
      </xdr:nvPicPr>
      <xdr:blipFill>
        <a:blip xmlns:r="http://schemas.openxmlformats.org/officeDocument/2006/relationships" r:embed="rId10"/>
        <a:stretch>
          <a:fillRect/>
        </a:stretch>
      </xdr:blipFill>
      <xdr:spPr>
        <a:xfrm>
          <a:off x="8470900" y="9404350"/>
          <a:ext cx="6449325" cy="5391902"/>
        </a:xfrm>
        <a:prstGeom prst="rect">
          <a:avLst/>
        </a:prstGeom>
      </xdr:spPr>
    </xdr:pic>
    <xdr:clientData/>
  </xdr:twoCellAnchor>
  <xdr:twoCellAnchor editAs="oneCell">
    <xdr:from>
      <xdr:col>13</xdr:col>
      <xdr:colOff>0</xdr:colOff>
      <xdr:row>79</xdr:row>
      <xdr:rowOff>0</xdr:rowOff>
    </xdr:from>
    <xdr:to>
      <xdr:col>29</xdr:col>
      <xdr:colOff>1361</xdr:colOff>
      <xdr:row>101</xdr:row>
      <xdr:rowOff>111706</xdr:rowOff>
    </xdr:to>
    <xdr:pic>
      <xdr:nvPicPr>
        <xdr:cNvPr id="12" name="Picture 11">
          <a:extLst>
            <a:ext uri="{FF2B5EF4-FFF2-40B4-BE49-F238E27FC236}">
              <a16:creationId xmlns:a16="http://schemas.microsoft.com/office/drawing/2014/main" id="{FC5739F8-D222-7EB2-83E9-001FD89737B7}"/>
            </a:ext>
          </a:extLst>
        </xdr:cNvPr>
        <xdr:cNvPicPr>
          <a:picLocks noChangeAspect="1"/>
        </xdr:cNvPicPr>
      </xdr:nvPicPr>
      <xdr:blipFill>
        <a:blip xmlns:r="http://schemas.openxmlformats.org/officeDocument/2006/relationships" r:embed="rId11"/>
        <a:stretch>
          <a:fillRect/>
        </a:stretch>
      </xdr:blipFill>
      <xdr:spPr>
        <a:xfrm>
          <a:off x="8470900" y="15113000"/>
          <a:ext cx="9754961" cy="416300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ata.bls.gov/timeseries/PCU2211102211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Z79"/>
  <sheetViews>
    <sheetView zoomScale="110" zoomScaleNormal="110" workbookViewId="0">
      <selection activeCell="A83" sqref="A83"/>
    </sheetView>
  </sheetViews>
  <sheetFormatPr defaultColWidth="9.140625" defaultRowHeight="12.75" x14ac:dyDescent="0.2"/>
  <cols>
    <col min="1" max="1" width="21.140625" style="2" customWidth="1"/>
    <col min="2" max="2" width="48.42578125" style="2" customWidth="1"/>
    <col min="3" max="3" width="19.140625" style="2" bestFit="1" customWidth="1"/>
    <col min="4" max="4" width="17.140625" style="2" customWidth="1"/>
    <col min="5" max="5" width="3.140625" style="50" customWidth="1"/>
    <col min="6" max="52" width="9.140625" style="50"/>
    <col min="53" max="16384" width="9.140625" style="2"/>
  </cols>
  <sheetData>
    <row r="1" spans="1:18" x14ac:dyDescent="0.2">
      <c r="A1" s="294" t="s">
        <v>0</v>
      </c>
      <c r="B1" s="294"/>
      <c r="C1" s="50"/>
      <c r="D1" s="50"/>
      <c r="F1" s="289" t="s">
        <v>1</v>
      </c>
      <c r="G1" s="290"/>
      <c r="H1" s="290"/>
      <c r="I1" s="290"/>
      <c r="J1" s="290"/>
      <c r="K1" s="290"/>
      <c r="L1" s="290"/>
      <c r="M1" s="290"/>
      <c r="N1" s="290"/>
      <c r="O1" s="290"/>
      <c r="P1" s="290"/>
      <c r="Q1" s="290"/>
      <c r="R1" s="291"/>
    </row>
    <row r="2" spans="1:18" ht="12.75" customHeight="1" x14ac:dyDescent="0.2">
      <c r="A2" s="295" t="s">
        <v>2</v>
      </c>
      <c r="B2" s="296"/>
      <c r="C2" s="50"/>
      <c r="D2" s="50"/>
    </row>
    <row r="3" spans="1:18" x14ac:dyDescent="0.2">
      <c r="A3" s="297"/>
      <c r="B3" s="298"/>
      <c r="C3" s="50"/>
      <c r="D3" s="50"/>
    </row>
    <row r="4" spans="1:18" x14ac:dyDescent="0.2">
      <c r="A4" s="297"/>
      <c r="B4" s="298"/>
      <c r="C4" s="50"/>
      <c r="D4" s="50"/>
    </row>
    <row r="5" spans="1:18" x14ac:dyDescent="0.2">
      <c r="A5" s="297"/>
      <c r="B5" s="298"/>
      <c r="C5" s="50"/>
      <c r="D5" s="50"/>
    </row>
    <row r="6" spans="1:18" x14ac:dyDescent="0.2">
      <c r="A6" s="297"/>
      <c r="B6" s="298"/>
      <c r="C6" s="50"/>
      <c r="D6" s="50"/>
    </row>
    <row r="7" spans="1:18" x14ac:dyDescent="0.2">
      <c r="A7" s="297"/>
      <c r="B7" s="298"/>
      <c r="C7" s="50"/>
      <c r="D7" s="50"/>
    </row>
    <row r="8" spans="1:18" x14ac:dyDescent="0.2">
      <c r="A8" s="297"/>
      <c r="B8" s="298"/>
      <c r="C8" s="50"/>
      <c r="D8" s="50"/>
    </row>
    <row r="9" spans="1:18" x14ac:dyDescent="0.2">
      <c r="A9" s="297"/>
      <c r="B9" s="298"/>
      <c r="C9" s="50"/>
      <c r="D9" s="50"/>
    </row>
    <row r="10" spans="1:18" x14ac:dyDescent="0.2">
      <c r="A10" s="299"/>
      <c r="B10" s="300"/>
      <c r="C10" s="50"/>
      <c r="D10" s="50"/>
    </row>
    <row r="11" spans="1:18" s="50" customFormat="1" x14ac:dyDescent="0.2"/>
    <row r="12" spans="1:18" x14ac:dyDescent="0.2">
      <c r="A12" s="294" t="s">
        <v>3</v>
      </c>
      <c r="B12" s="294"/>
      <c r="C12" s="50"/>
      <c r="D12" s="50"/>
    </row>
    <row r="13" spans="1:18" ht="30" customHeight="1" x14ac:dyDescent="0.2">
      <c r="A13" s="37"/>
      <c r="B13" s="38" t="s">
        <v>4</v>
      </c>
      <c r="C13" s="50"/>
      <c r="D13" s="50"/>
    </row>
    <row r="14" spans="1:18" ht="30" customHeight="1" x14ac:dyDescent="0.2">
      <c r="A14" s="35"/>
      <c r="B14" s="38" t="s">
        <v>5</v>
      </c>
      <c r="C14" s="50"/>
      <c r="D14" s="50"/>
    </row>
    <row r="15" spans="1:18" ht="30" customHeight="1" x14ac:dyDescent="0.2">
      <c r="A15" s="39"/>
      <c r="B15" s="38" t="s">
        <v>6</v>
      </c>
      <c r="C15" s="50"/>
      <c r="D15" s="50"/>
    </row>
    <row r="16" spans="1:18" ht="30" customHeight="1" x14ac:dyDescent="0.2">
      <c r="A16" s="40"/>
      <c r="B16" s="38" t="s">
        <v>7</v>
      </c>
      <c r="C16" s="50"/>
      <c r="D16" s="50"/>
    </row>
    <row r="17" spans="1:4" ht="30" customHeight="1" x14ac:dyDescent="0.2">
      <c r="A17" s="41"/>
      <c r="B17" s="38" t="s">
        <v>8</v>
      </c>
      <c r="C17" s="50"/>
      <c r="D17" s="50"/>
    </row>
    <row r="18" spans="1:4" x14ac:dyDescent="0.2">
      <c r="C18" s="50"/>
      <c r="D18" s="50"/>
    </row>
    <row r="19" spans="1:4" x14ac:dyDescent="0.2">
      <c r="A19" s="294" t="s">
        <v>9</v>
      </c>
      <c r="B19" s="294"/>
      <c r="C19" s="26" t="s">
        <v>10</v>
      </c>
      <c r="D19" s="26" t="s">
        <v>11</v>
      </c>
    </row>
    <row r="20" spans="1:4" x14ac:dyDescent="0.2">
      <c r="A20" s="292" t="s">
        <v>12</v>
      </c>
      <c r="B20" s="293"/>
      <c r="C20" s="186"/>
      <c r="D20" s="28" t="s">
        <v>13</v>
      </c>
    </row>
    <row r="21" spans="1:4" x14ac:dyDescent="0.2">
      <c r="A21" s="292" t="s">
        <v>14</v>
      </c>
      <c r="B21" s="293"/>
      <c r="C21" s="186"/>
      <c r="D21" s="28" t="s">
        <v>13</v>
      </c>
    </row>
    <row r="22" spans="1:4" x14ac:dyDescent="0.2">
      <c r="A22" s="292" t="s">
        <v>15</v>
      </c>
      <c r="B22" s="293"/>
      <c r="C22" s="31" t="s">
        <v>16</v>
      </c>
      <c r="D22" s="28" t="s">
        <v>13</v>
      </c>
    </row>
    <row r="23" spans="1:4" x14ac:dyDescent="0.2">
      <c r="A23" s="292" t="s">
        <v>17</v>
      </c>
      <c r="B23" s="293"/>
      <c r="C23" s="31" t="s">
        <v>18</v>
      </c>
      <c r="D23" s="28" t="s">
        <v>13</v>
      </c>
    </row>
    <row r="24" spans="1:4" x14ac:dyDescent="0.2">
      <c r="A24" s="292" t="s">
        <v>19</v>
      </c>
      <c r="B24" s="293"/>
      <c r="C24" s="31" t="s">
        <v>20</v>
      </c>
      <c r="D24" s="28" t="s">
        <v>21</v>
      </c>
    </row>
    <row r="25" spans="1:4" x14ac:dyDescent="0.2">
      <c r="A25" s="292" t="s">
        <v>22</v>
      </c>
      <c r="B25" s="293"/>
      <c r="C25" s="31" t="s">
        <v>20</v>
      </c>
      <c r="D25" s="28" t="s">
        <v>21</v>
      </c>
    </row>
    <row r="26" spans="1:4" x14ac:dyDescent="0.2">
      <c r="A26" s="292" t="s">
        <v>23</v>
      </c>
      <c r="B26" s="293"/>
      <c r="C26" s="31" t="s">
        <v>24</v>
      </c>
      <c r="D26" s="28" t="s">
        <v>25</v>
      </c>
    </row>
    <row r="27" spans="1:4" x14ac:dyDescent="0.2">
      <c r="A27" s="292" t="s">
        <v>26</v>
      </c>
      <c r="B27" s="293"/>
      <c r="C27" s="31" t="s">
        <v>27</v>
      </c>
      <c r="D27" s="28" t="s">
        <v>25</v>
      </c>
    </row>
    <row r="28" spans="1:4" x14ac:dyDescent="0.2">
      <c r="A28" s="292" t="s">
        <v>28</v>
      </c>
      <c r="B28" s="293"/>
      <c r="C28" s="31" t="s">
        <v>29</v>
      </c>
      <c r="D28" s="28" t="s">
        <v>30</v>
      </c>
    </row>
    <row r="29" spans="1:4" x14ac:dyDescent="0.2">
      <c r="A29" s="280" t="s">
        <v>31</v>
      </c>
      <c r="B29" s="281"/>
      <c r="C29" s="31" t="s">
        <v>32</v>
      </c>
      <c r="D29" s="28" t="s">
        <v>33</v>
      </c>
    </row>
    <row r="30" spans="1:4" x14ac:dyDescent="0.2">
      <c r="A30" s="280" t="s">
        <v>34</v>
      </c>
      <c r="B30" s="281"/>
      <c r="C30" s="31" t="s">
        <v>35</v>
      </c>
      <c r="D30" s="28" t="s">
        <v>36</v>
      </c>
    </row>
    <row r="31" spans="1:4" x14ac:dyDescent="0.2">
      <c r="A31" s="280" t="s">
        <v>37</v>
      </c>
      <c r="B31" s="281"/>
      <c r="C31" s="31" t="s">
        <v>38</v>
      </c>
      <c r="D31" s="28" t="s">
        <v>39</v>
      </c>
    </row>
    <row r="32" spans="1:4" x14ac:dyDescent="0.2">
      <c r="A32" s="280" t="s">
        <v>40</v>
      </c>
      <c r="B32" s="281"/>
      <c r="C32" s="31" t="s">
        <v>41</v>
      </c>
      <c r="D32" s="28" t="s">
        <v>42</v>
      </c>
    </row>
    <row r="33" spans="1:8" x14ac:dyDescent="0.2">
      <c r="A33" s="280" t="s">
        <v>43</v>
      </c>
      <c r="B33" s="281"/>
      <c r="C33" s="31" t="s">
        <v>44</v>
      </c>
      <c r="D33" s="28" t="s">
        <v>45</v>
      </c>
    </row>
    <row r="34" spans="1:8" x14ac:dyDescent="0.2">
      <c r="A34" s="280" t="s">
        <v>46</v>
      </c>
      <c r="B34" s="281"/>
      <c r="C34" s="31" t="s">
        <v>47</v>
      </c>
      <c r="D34" s="28" t="s">
        <v>48</v>
      </c>
    </row>
    <row r="35" spans="1:8" s="50" customFormat="1" ht="15" customHeight="1" x14ac:dyDescent="0.2">
      <c r="A35" s="165"/>
      <c r="B35" s="165"/>
    </row>
    <row r="36" spans="1:8" x14ac:dyDescent="0.2">
      <c r="A36" s="42" t="s">
        <v>49</v>
      </c>
      <c r="B36" s="166" t="s">
        <v>50</v>
      </c>
      <c r="C36" s="50"/>
      <c r="D36" s="50"/>
    </row>
    <row r="37" spans="1:8" s="50" customFormat="1" x14ac:dyDescent="0.2"/>
    <row r="38" spans="1:8" x14ac:dyDescent="0.2">
      <c r="A38" s="34" t="s">
        <v>51</v>
      </c>
      <c r="B38" s="307" t="s">
        <v>52</v>
      </c>
      <c r="C38" s="50"/>
      <c r="D38" s="50"/>
    </row>
    <row r="39" spans="1:8" x14ac:dyDescent="0.2">
      <c r="A39" s="50"/>
      <c r="B39" s="307"/>
      <c r="C39" s="50"/>
      <c r="D39" s="50"/>
    </row>
    <row r="40" spans="1:8" x14ac:dyDescent="0.2">
      <c r="A40" s="50"/>
      <c r="B40" s="307"/>
      <c r="C40" s="50"/>
      <c r="D40" s="50"/>
    </row>
    <row r="41" spans="1:8" x14ac:dyDescent="0.2">
      <c r="A41" s="50"/>
      <c r="B41" s="307"/>
      <c r="C41" s="50"/>
      <c r="D41" s="50"/>
    </row>
    <row r="42" spans="1:8" x14ac:dyDescent="0.2">
      <c r="A42" s="50"/>
      <c r="B42" s="307"/>
      <c r="C42" s="50"/>
      <c r="D42" s="50"/>
    </row>
    <row r="43" spans="1:8" x14ac:dyDescent="0.2">
      <c r="A43" s="50"/>
      <c r="B43" s="307"/>
      <c r="C43" s="50"/>
      <c r="D43" s="50"/>
    </row>
    <row r="44" spans="1:8" x14ac:dyDescent="0.2">
      <c r="A44" s="50"/>
      <c r="B44" s="307"/>
      <c r="C44" s="50"/>
      <c r="D44" s="50"/>
    </row>
    <row r="45" spans="1:8" x14ac:dyDescent="0.2">
      <c r="A45" s="50"/>
      <c r="B45" s="307"/>
      <c r="C45" s="50"/>
      <c r="D45" s="50"/>
    </row>
    <row r="46" spans="1:8" x14ac:dyDescent="0.2">
      <c r="A46" s="50"/>
      <c r="B46" s="307"/>
      <c r="C46" s="50"/>
      <c r="D46" s="50"/>
    </row>
    <row r="47" spans="1:8" s="50" customFormat="1" ht="13.5" thickBot="1" x14ac:dyDescent="0.25"/>
    <row r="48" spans="1:8" s="50" customFormat="1" x14ac:dyDescent="0.2">
      <c r="A48" s="253"/>
      <c r="B48" s="256"/>
      <c r="C48" s="256"/>
      <c r="D48" s="258"/>
      <c r="E48" s="258"/>
      <c r="F48" s="258"/>
      <c r="G48" s="258"/>
      <c r="H48" s="257"/>
    </row>
    <row r="49" spans="1:8" s="50" customFormat="1" x14ac:dyDescent="0.2">
      <c r="A49" s="271"/>
      <c r="B49" s="272"/>
      <c r="C49" s="272"/>
      <c r="D49" s="272"/>
      <c r="E49" s="272"/>
      <c r="F49" s="272"/>
      <c r="G49" s="272"/>
      <c r="H49" s="273"/>
    </row>
    <row r="50" spans="1:8" s="50" customFormat="1" ht="30.6" customHeight="1" x14ac:dyDescent="0.2">
      <c r="A50" s="304" t="s">
        <v>53</v>
      </c>
      <c r="B50" s="305"/>
      <c r="C50" s="305"/>
      <c r="D50" s="305"/>
      <c r="E50" s="305"/>
      <c r="F50" s="305"/>
      <c r="G50" s="305"/>
      <c r="H50" s="306"/>
    </row>
    <row r="51" spans="1:8" s="259" customFormat="1" x14ac:dyDescent="0.2">
      <c r="A51" s="274" t="s">
        <v>54</v>
      </c>
      <c r="B51" s="275"/>
      <c r="C51" s="275"/>
      <c r="D51" s="275"/>
      <c r="E51" s="275"/>
      <c r="F51" s="275"/>
      <c r="G51" s="275"/>
      <c r="H51" s="276"/>
    </row>
    <row r="52" spans="1:8" s="259" customFormat="1" x14ac:dyDescent="0.2">
      <c r="A52" s="277" t="s">
        <v>55</v>
      </c>
      <c r="B52" s="275"/>
      <c r="C52" s="275"/>
      <c r="D52" s="275"/>
      <c r="E52" s="275"/>
      <c r="F52" s="275"/>
      <c r="G52" s="275"/>
      <c r="H52" s="276"/>
    </row>
    <row r="53" spans="1:8" s="50" customFormat="1" x14ac:dyDescent="0.2">
      <c r="A53" s="271" t="s">
        <v>56</v>
      </c>
      <c r="B53" s="272"/>
      <c r="C53" s="272"/>
      <c r="D53" s="272"/>
      <c r="E53" s="272"/>
      <c r="F53" s="272"/>
      <c r="G53" s="272"/>
      <c r="H53" s="273"/>
    </row>
    <row r="54" spans="1:8" s="50" customFormat="1" x14ac:dyDescent="0.2">
      <c r="A54" s="271" t="s">
        <v>57</v>
      </c>
      <c r="B54" s="272"/>
      <c r="C54" s="272"/>
      <c r="D54" s="272"/>
      <c r="E54" s="272"/>
      <c r="F54" s="272"/>
      <c r="G54" s="272"/>
      <c r="H54" s="273"/>
    </row>
    <row r="55" spans="1:8" s="50" customFormat="1" ht="24" customHeight="1" x14ac:dyDescent="0.2">
      <c r="A55" s="301" t="s">
        <v>58</v>
      </c>
      <c r="B55" s="302"/>
      <c r="C55" s="302"/>
      <c r="D55" s="302"/>
      <c r="E55" s="302"/>
      <c r="F55" s="302"/>
      <c r="G55" s="302"/>
      <c r="H55" s="303"/>
    </row>
    <row r="56" spans="1:8" s="50" customFormat="1" x14ac:dyDescent="0.2">
      <c r="A56" s="274" t="s">
        <v>59</v>
      </c>
      <c r="B56" s="272"/>
      <c r="C56" s="272"/>
      <c r="D56" s="272"/>
      <c r="E56" s="272"/>
      <c r="F56" s="272"/>
      <c r="G56" s="272"/>
      <c r="H56" s="273"/>
    </row>
    <row r="57" spans="1:8" s="50" customFormat="1" x14ac:dyDescent="0.2">
      <c r="A57" s="274" t="s">
        <v>60</v>
      </c>
      <c r="B57" s="272"/>
      <c r="C57" s="272"/>
      <c r="D57" s="272"/>
      <c r="E57" s="272"/>
      <c r="F57" s="272"/>
      <c r="G57" s="272"/>
      <c r="H57" s="273"/>
    </row>
    <row r="58" spans="1:8" s="50" customFormat="1" x14ac:dyDescent="0.2">
      <c r="A58" s="274" t="s">
        <v>61</v>
      </c>
      <c r="B58" s="272"/>
      <c r="C58" s="272"/>
      <c r="D58" s="272"/>
      <c r="E58" s="272"/>
      <c r="F58" s="272"/>
      <c r="G58" s="272"/>
      <c r="H58" s="273"/>
    </row>
    <row r="59" spans="1:8" s="50" customFormat="1" x14ac:dyDescent="0.2">
      <c r="A59" s="271" t="s">
        <v>62</v>
      </c>
      <c r="B59" s="66"/>
      <c r="C59" s="66"/>
      <c r="D59" s="66"/>
      <c r="E59" s="66"/>
      <c r="F59" s="66"/>
      <c r="G59" s="66"/>
      <c r="H59" s="278"/>
    </row>
    <row r="60" spans="1:8" s="50" customFormat="1" x14ac:dyDescent="0.2">
      <c r="A60" s="255"/>
      <c r="B60" s="86"/>
      <c r="C60" s="86"/>
      <c r="H60" s="264"/>
    </row>
    <row r="61" spans="1:8" s="50" customFormat="1" x14ac:dyDescent="0.2">
      <c r="A61" s="254"/>
      <c r="H61" s="264"/>
    </row>
    <row r="62" spans="1:8" s="50" customFormat="1" x14ac:dyDescent="0.2">
      <c r="A62" s="263"/>
      <c r="H62" s="264"/>
    </row>
    <row r="63" spans="1:8" s="50" customFormat="1" ht="13.5" thickBot="1" x14ac:dyDescent="0.25">
      <c r="A63" s="262"/>
      <c r="B63" s="261"/>
      <c r="C63" s="261"/>
      <c r="D63" s="261"/>
      <c r="E63" s="261"/>
      <c r="F63" s="261"/>
      <c r="G63" s="261"/>
      <c r="H63" s="265"/>
    </row>
    <row r="64" spans="1:8"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sheetData>
  <mergeCells count="17">
    <mergeCell ref="A55:H55"/>
    <mergeCell ref="A50:H50"/>
    <mergeCell ref="B38:B46"/>
    <mergeCell ref="A28:B28"/>
    <mergeCell ref="A20:B20"/>
    <mergeCell ref="A21:B21"/>
    <mergeCell ref="F1:R1"/>
    <mergeCell ref="A24:B24"/>
    <mergeCell ref="A25:B25"/>
    <mergeCell ref="A26:B26"/>
    <mergeCell ref="A27:B27"/>
    <mergeCell ref="A23:B23"/>
    <mergeCell ref="A1:B1"/>
    <mergeCell ref="A2:B10"/>
    <mergeCell ref="A12:B12"/>
    <mergeCell ref="A19:B19"/>
    <mergeCell ref="A22:B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13E0-1A0C-4005-8720-729029DC0677}">
  <sheetPr codeName="Sheet13">
    <tabColor theme="9" tint="0.79998168889431442"/>
  </sheetPr>
  <dimension ref="B2:AP48"/>
  <sheetViews>
    <sheetView zoomScale="104" zoomScaleNormal="104" workbookViewId="0">
      <selection activeCell="AD29" sqref="AD29"/>
    </sheetView>
  </sheetViews>
  <sheetFormatPr defaultColWidth="9.140625" defaultRowHeight="12.75" x14ac:dyDescent="0.2"/>
  <cols>
    <col min="1" max="1" width="2.85546875" style="50" customWidth="1"/>
    <col min="2" max="12" width="12.85546875" style="50" customWidth="1"/>
    <col min="13" max="13" width="14.85546875" style="50" customWidth="1"/>
    <col min="14" max="16" width="12.85546875" style="50" customWidth="1"/>
    <col min="17" max="17" width="14.85546875" style="50" customWidth="1"/>
    <col min="18" max="18" width="12.85546875" style="50" customWidth="1"/>
    <col min="19" max="19" width="13.85546875" style="50" bestFit="1" customWidth="1"/>
    <col min="20" max="21" width="12.140625" style="50" customWidth="1"/>
    <col min="22" max="22" width="10.140625" style="50" bestFit="1" customWidth="1"/>
    <col min="23" max="24" width="11.85546875" style="50" customWidth="1"/>
    <col min="25" max="25" width="13.85546875" style="50" bestFit="1" customWidth="1"/>
    <col min="26" max="26" width="12.85546875" style="50" customWidth="1"/>
    <col min="27" max="27" width="14.140625" style="50" bestFit="1" customWidth="1"/>
    <col min="28" max="38" width="12.85546875" style="50" customWidth="1"/>
    <col min="39" max="16384" width="9.140625" style="50"/>
  </cols>
  <sheetData>
    <row r="2" spans="2:42" ht="21" x14ac:dyDescent="0.35">
      <c r="B2" s="70" t="s">
        <v>36</v>
      </c>
    </row>
    <row r="3" spans="2:42" x14ac:dyDescent="0.2">
      <c r="B3" s="68" t="s">
        <v>148</v>
      </c>
      <c r="C3" s="69" t="s">
        <v>149</v>
      </c>
    </row>
    <row r="4" spans="2:42" x14ac:dyDescent="0.2">
      <c r="B4" s="67" t="str">
        <f>IF(COUNTIF(AC15:AG21,"=")&gt;0,"Incomplete","Complete")</f>
        <v>Complete</v>
      </c>
      <c r="C4" s="66" t="s">
        <v>196</v>
      </c>
      <c r="D4" s="66"/>
    </row>
    <row r="5" spans="2:42" x14ac:dyDescent="0.2">
      <c r="AA5" s="28" t="s">
        <v>197</v>
      </c>
      <c r="AB5" s="205">
        <v>5</v>
      </c>
    </row>
    <row r="7" spans="2:42" x14ac:dyDescent="0.2">
      <c r="K7" s="82"/>
      <c r="AA7" s="349" t="s">
        <v>198</v>
      </c>
      <c r="AB7" s="349"/>
    </row>
    <row r="8" spans="2:42" x14ac:dyDescent="0.2">
      <c r="K8" s="81"/>
      <c r="AA8" s="28" t="s">
        <v>107</v>
      </c>
      <c r="AB8" s="206">
        <v>0.5</v>
      </c>
    </row>
    <row r="9" spans="2:42" x14ac:dyDescent="0.2">
      <c r="AA9" s="28" t="s">
        <v>101</v>
      </c>
      <c r="AB9" s="207">
        <f>1-AB8</f>
        <v>0.5</v>
      </c>
    </row>
    <row r="10" spans="2:42" x14ac:dyDescent="0.2">
      <c r="AE10" s="86"/>
    </row>
    <row r="11" spans="2:42" x14ac:dyDescent="0.2">
      <c r="B11" s="66"/>
      <c r="E11" s="86"/>
      <c r="F11" s="86"/>
      <c r="G11" s="86"/>
      <c r="H11" s="86"/>
      <c r="J11" s="80"/>
      <c r="O11" s="86"/>
      <c r="P11" s="86"/>
      <c r="Q11" s="86"/>
      <c r="R11" s="86"/>
      <c r="U11" s="86"/>
      <c r="V11" s="86"/>
      <c r="W11" s="86"/>
      <c r="X11" s="86"/>
      <c r="AC11" s="232"/>
      <c r="AD11" s="86"/>
      <c r="AE11" s="86"/>
      <c r="AF11" s="86"/>
      <c r="AG11" s="86"/>
      <c r="AH11" s="86"/>
    </row>
    <row r="12" spans="2:42" ht="15" customHeight="1" x14ac:dyDescent="0.2">
      <c r="B12" s="34"/>
      <c r="C12" s="34"/>
      <c r="D12" s="201" t="s">
        <v>199</v>
      </c>
      <c r="E12" s="201"/>
      <c r="F12" s="201"/>
      <c r="G12" s="201"/>
      <c r="H12" s="201"/>
      <c r="I12" s="201"/>
      <c r="J12" s="201"/>
      <c r="K12" s="201"/>
      <c r="L12" s="201"/>
      <c r="M12" s="201"/>
      <c r="N12" s="201" t="s">
        <v>200</v>
      </c>
      <c r="O12" s="201"/>
      <c r="P12" s="201"/>
      <c r="Q12" s="201"/>
      <c r="R12" s="201"/>
      <c r="S12" s="201"/>
      <c r="T12" s="201"/>
      <c r="U12" s="201"/>
      <c r="V12" s="201"/>
      <c r="W12" s="201"/>
      <c r="X12" s="201"/>
      <c r="Y12" s="201"/>
      <c r="AA12" s="349" t="s">
        <v>201</v>
      </c>
      <c r="AB12" s="349"/>
      <c r="AC12" s="349"/>
      <c r="AD12" s="349"/>
      <c r="AE12" s="349"/>
      <c r="AF12" s="349"/>
      <c r="AG12" s="349"/>
      <c r="AH12" s="349"/>
      <c r="AI12" s="349"/>
      <c r="AJ12" s="349"/>
      <c r="AK12" s="349"/>
      <c r="AL12" s="349"/>
    </row>
    <row r="13" spans="2:42" ht="14.45" customHeight="1" x14ac:dyDescent="0.2">
      <c r="B13" s="350" t="s">
        <v>142</v>
      </c>
      <c r="C13" s="350" t="s">
        <v>141</v>
      </c>
      <c r="D13" s="202" t="s">
        <v>107</v>
      </c>
      <c r="E13" s="202"/>
      <c r="F13" s="202"/>
      <c r="G13" s="202"/>
      <c r="H13" s="202"/>
      <c r="I13" s="202" t="s">
        <v>101</v>
      </c>
      <c r="J13" s="202"/>
      <c r="K13" s="202"/>
      <c r="L13" s="202"/>
      <c r="M13" s="202"/>
      <c r="N13" s="201" t="s">
        <v>107</v>
      </c>
      <c r="O13" s="201"/>
      <c r="P13" s="201"/>
      <c r="Q13" s="201"/>
      <c r="R13" s="201"/>
      <c r="S13" s="201"/>
      <c r="T13" s="201" t="s">
        <v>101</v>
      </c>
      <c r="U13" s="201"/>
      <c r="V13" s="201"/>
      <c r="W13" s="201"/>
      <c r="X13" s="201"/>
      <c r="Y13" s="201"/>
      <c r="AA13" s="208"/>
      <c r="AB13" s="352" t="s">
        <v>141</v>
      </c>
      <c r="AC13" s="350" t="s">
        <v>107</v>
      </c>
      <c r="AD13" s="350"/>
      <c r="AE13" s="350"/>
      <c r="AF13" s="350"/>
      <c r="AG13" s="350"/>
      <c r="AH13" s="350" t="s">
        <v>101</v>
      </c>
      <c r="AI13" s="350"/>
      <c r="AJ13" s="350"/>
      <c r="AK13" s="350"/>
      <c r="AL13" s="350"/>
      <c r="AP13" s="238"/>
    </row>
    <row r="14" spans="2:42" ht="12.75" customHeight="1" x14ac:dyDescent="0.2">
      <c r="B14" s="350"/>
      <c r="C14" s="350"/>
      <c r="D14" s="222" t="str">
        <f>AC$14</f>
        <v>2022/2021</v>
      </c>
      <c r="E14" s="222" t="str">
        <f t="shared" ref="E14:H14" si="0">AD$14</f>
        <v>2023/2024</v>
      </c>
      <c r="F14" s="222" t="str">
        <f t="shared" si="0"/>
        <v>2024/2025</v>
      </c>
      <c r="G14" s="222" t="str">
        <f t="shared" si="0"/>
        <v>2025/2026</v>
      </c>
      <c r="H14" s="222" t="str">
        <f t="shared" si="0"/>
        <v>2026/2027</v>
      </c>
      <c r="I14" s="222" t="str">
        <f>D14</f>
        <v>2022/2021</v>
      </c>
      <c r="J14" s="222" t="str">
        <f t="shared" ref="J14:M14" si="1">E14</f>
        <v>2023/2024</v>
      </c>
      <c r="K14" s="222" t="str">
        <f t="shared" si="1"/>
        <v>2024/2025</v>
      </c>
      <c r="L14" s="222" t="str">
        <f t="shared" si="1"/>
        <v>2025/2026</v>
      </c>
      <c r="M14" s="222" t="str">
        <f t="shared" si="1"/>
        <v>2026/2027</v>
      </c>
      <c r="N14" s="287" t="s">
        <v>202</v>
      </c>
      <c r="O14" s="287" t="s">
        <v>203</v>
      </c>
      <c r="P14" s="287" t="str">
        <f>$AE$14</f>
        <v>2024/2025</v>
      </c>
      <c r="Q14" s="287" t="str">
        <f>$AF$14</f>
        <v>2025/2026</v>
      </c>
      <c r="R14" s="287" t="str">
        <f>$AG$14</f>
        <v>2026/2027</v>
      </c>
      <c r="S14" s="287" t="str">
        <f>_xlfn.CONCAT($AB$5,"-Year Average")</f>
        <v>5-Year Average</v>
      </c>
      <c r="T14" s="287" t="s">
        <v>202</v>
      </c>
      <c r="U14" s="287" t="s">
        <v>203</v>
      </c>
      <c r="V14" s="287" t="str">
        <f>$AE$14</f>
        <v>2024/2025</v>
      </c>
      <c r="W14" s="287" t="str">
        <f>$AF$14</f>
        <v>2025/2026</v>
      </c>
      <c r="X14" s="287" t="str">
        <f>$AG$14</f>
        <v>2026/2027</v>
      </c>
      <c r="Y14" s="287" t="str">
        <f>_xlfn.CONCAT($AB$5,"-Year Average")</f>
        <v>5-Year Average</v>
      </c>
      <c r="AA14" s="287" t="s">
        <v>142</v>
      </c>
      <c r="AB14" s="353"/>
      <c r="AC14" s="287" t="s">
        <v>204</v>
      </c>
      <c r="AD14" s="287" t="s">
        <v>205</v>
      </c>
      <c r="AE14" s="287" t="s">
        <v>206</v>
      </c>
      <c r="AF14" s="287" t="s">
        <v>207</v>
      </c>
      <c r="AG14" s="287" t="s">
        <v>208</v>
      </c>
      <c r="AH14" s="287" t="str">
        <f t="shared" ref="AH14:AL15" si="2">AC14</f>
        <v>2022/2021</v>
      </c>
      <c r="AI14" s="287" t="str">
        <f t="shared" si="2"/>
        <v>2023/2024</v>
      </c>
      <c r="AJ14" s="287" t="str">
        <f t="shared" si="2"/>
        <v>2024/2025</v>
      </c>
      <c r="AK14" s="287" t="str">
        <f t="shared" si="2"/>
        <v>2025/2026</v>
      </c>
      <c r="AL14" s="287" t="str">
        <f t="shared" si="2"/>
        <v>2026/2027</v>
      </c>
    </row>
    <row r="15" spans="2:42" x14ac:dyDescent="0.2">
      <c r="B15" s="28" t="s">
        <v>85</v>
      </c>
      <c r="C15" s="31" t="s">
        <v>209</v>
      </c>
      <c r="D15" s="203">
        <f t="shared" ref="D15:H21" si="3">AC15*$AB$8</f>
        <v>25</v>
      </c>
      <c r="E15" s="203">
        <f t="shared" si="3"/>
        <v>17.065000000000001</v>
      </c>
      <c r="F15" s="203">
        <f t="shared" si="3"/>
        <v>14.46</v>
      </c>
      <c r="G15" s="203">
        <f t="shared" si="3"/>
        <v>134.96</v>
      </c>
      <c r="H15" s="203">
        <f t="shared" si="3"/>
        <v>164.58500000000001</v>
      </c>
      <c r="I15" s="203">
        <f t="shared" ref="I15:M21" si="4">AH15*$AB$9</f>
        <v>25</v>
      </c>
      <c r="J15" s="203">
        <f t="shared" si="4"/>
        <v>17.065000000000001</v>
      </c>
      <c r="K15" s="203">
        <f t="shared" si="4"/>
        <v>14.46</v>
      </c>
      <c r="L15" s="203">
        <f t="shared" si="4"/>
        <v>134.96</v>
      </c>
      <c r="M15" s="203">
        <f t="shared" si="4"/>
        <v>164.58500000000001</v>
      </c>
      <c r="N15" s="203">
        <f>IF($AB$5&lt;5,"not used",D15*365/1000)</f>
        <v>9.125</v>
      </c>
      <c r="O15" s="203">
        <f>IF($AB$5&lt;4,"not used",E15*365/1000)</f>
        <v>6.2287250000000007</v>
      </c>
      <c r="P15" s="203">
        <f>IF($AB$5&lt;3,"not used",F15*365/1000)</f>
        <v>5.2779000000000007</v>
      </c>
      <c r="Q15" s="203">
        <f>IF($AB$5&lt;2,"not used",G15*365/1000)</f>
        <v>49.260400000000004</v>
      </c>
      <c r="R15" s="203">
        <f>IF($AB$5&lt;1,"not used",H15*365/1000)</f>
        <v>60.073525000000004</v>
      </c>
      <c r="S15" s="203">
        <f>AVERAGE(N15:R15)</f>
        <v>25.993110000000001</v>
      </c>
      <c r="T15" s="203">
        <f>IF($AB$5&lt;5,"not used",I15*365/1000)</f>
        <v>9.125</v>
      </c>
      <c r="U15" s="203">
        <f>IF($AB$5&lt;4,"not used",J15*365/1000)</f>
        <v>6.2287250000000007</v>
      </c>
      <c r="V15" s="203">
        <f>IF($AB$5&lt;3,"not used",K15*365/1000)</f>
        <v>5.2779000000000007</v>
      </c>
      <c r="W15" s="203">
        <f>IF($AB$5&lt;2,"not used",L15*365/1000)</f>
        <v>49.260400000000004</v>
      </c>
      <c r="X15" s="203">
        <f>IF($AB$5&lt;1,"not used",M15*365/1000)</f>
        <v>60.073525000000004</v>
      </c>
      <c r="Y15" s="203">
        <f>AVERAGE(T15:X15)</f>
        <v>25.993110000000001</v>
      </c>
      <c r="AA15" s="28" t="s">
        <v>85</v>
      </c>
      <c r="AB15" s="31" t="s">
        <v>209</v>
      </c>
      <c r="AC15" s="209">
        <v>50</v>
      </c>
      <c r="AD15" s="209">
        <v>34.130000000000003</v>
      </c>
      <c r="AE15" s="209">
        <v>28.92</v>
      </c>
      <c r="AF15" s="209">
        <v>269.92</v>
      </c>
      <c r="AG15" s="209">
        <v>329.17</v>
      </c>
      <c r="AH15" s="203">
        <f t="shared" si="2"/>
        <v>50</v>
      </c>
      <c r="AI15" s="203">
        <f t="shared" si="2"/>
        <v>34.130000000000003</v>
      </c>
      <c r="AJ15" s="203">
        <f t="shared" si="2"/>
        <v>28.92</v>
      </c>
      <c r="AK15" s="203">
        <f t="shared" si="2"/>
        <v>269.92</v>
      </c>
      <c r="AL15" s="203">
        <f t="shared" si="2"/>
        <v>329.17</v>
      </c>
      <c r="AM15" s="63"/>
      <c r="AN15" s="63"/>
      <c r="AO15" s="63"/>
      <c r="AP15" s="63"/>
    </row>
    <row r="16" spans="2:42" x14ac:dyDescent="0.2">
      <c r="B16" s="28" t="s">
        <v>88</v>
      </c>
      <c r="C16" s="31" t="s">
        <v>210</v>
      </c>
      <c r="D16" s="203">
        <f t="shared" si="3"/>
        <v>47.895000000000003</v>
      </c>
      <c r="E16" s="203">
        <f t="shared" si="3"/>
        <v>24.745000000000001</v>
      </c>
      <c r="F16" s="203">
        <f t="shared" si="3"/>
        <v>24.745000000000001</v>
      </c>
      <c r="G16" s="203">
        <f t="shared" si="3"/>
        <v>134.96</v>
      </c>
      <c r="H16" s="203">
        <f t="shared" si="3"/>
        <v>164.58500000000001</v>
      </c>
      <c r="I16" s="203">
        <f t="shared" si="4"/>
        <v>47.895000000000003</v>
      </c>
      <c r="J16" s="203">
        <f t="shared" si="4"/>
        <v>24.745000000000001</v>
      </c>
      <c r="K16" s="203">
        <f t="shared" si="4"/>
        <v>24.745000000000001</v>
      </c>
      <c r="L16" s="203">
        <f t="shared" si="4"/>
        <v>134.96</v>
      </c>
      <c r="M16" s="203">
        <f t="shared" si="4"/>
        <v>164.58500000000001</v>
      </c>
      <c r="N16" s="203">
        <f t="shared" ref="N16:N21" si="5">IF($AB$5&lt;5,"not used",D16*365/1000)</f>
        <v>17.481675000000003</v>
      </c>
      <c r="O16" s="203">
        <f t="shared" ref="O16:O21" si="6">IF($AB$5&lt;4,"not used",E16*365/1000)</f>
        <v>9.0319250000000011</v>
      </c>
      <c r="P16" s="203">
        <f t="shared" ref="P16:P21" si="7">IF($AB$5&lt;3,"not used",F16*365/1000)</f>
        <v>9.0319250000000011</v>
      </c>
      <c r="Q16" s="203">
        <f t="shared" ref="Q16:Q21" si="8">IF($AB$5&lt;2,"not used",G16*365/1000)</f>
        <v>49.260400000000004</v>
      </c>
      <c r="R16" s="203">
        <f t="shared" ref="R16:R21" si="9">IF($AB$5&lt;1,"not used",H16*365/1000)</f>
        <v>60.073525000000004</v>
      </c>
      <c r="S16" s="203">
        <f t="shared" ref="S16:S21" si="10">AVERAGE(N16:R16)</f>
        <v>28.975890000000003</v>
      </c>
      <c r="T16" s="203">
        <f t="shared" ref="T16:T21" si="11">IF($AB$5&lt;5,"not used",I16*365/1000)</f>
        <v>17.481675000000003</v>
      </c>
      <c r="U16" s="203">
        <f t="shared" ref="U16:U21" si="12">IF($AB$5&lt;4,"not used",J16*365/1000)</f>
        <v>9.0319250000000011</v>
      </c>
      <c r="V16" s="203">
        <f t="shared" ref="V16:V21" si="13">IF($AB$5&lt;3,"not used",K16*365/1000)</f>
        <v>9.0319250000000011</v>
      </c>
      <c r="W16" s="203">
        <f t="shared" ref="W16:W21" si="14">IF($AB$5&lt;2,"not used",L16*365/1000)</f>
        <v>49.260400000000004</v>
      </c>
      <c r="X16" s="203">
        <f t="shared" ref="X16:X21" si="15">IF($AB$5&lt;1,"not used",M16*365/1000)</f>
        <v>60.073525000000004</v>
      </c>
      <c r="Y16" s="203">
        <f t="shared" ref="Y16:Y21" si="16">AVERAGE(T16:X16)</f>
        <v>28.975890000000003</v>
      </c>
      <c r="AA16" s="28" t="s">
        <v>88</v>
      </c>
      <c r="AB16" s="31" t="s">
        <v>210</v>
      </c>
      <c r="AC16" s="209">
        <v>95.79</v>
      </c>
      <c r="AD16" s="209">
        <v>49.49</v>
      </c>
      <c r="AE16" s="209">
        <v>49.49</v>
      </c>
      <c r="AF16" s="209">
        <v>269.92</v>
      </c>
      <c r="AG16" s="209">
        <v>329.17</v>
      </c>
      <c r="AH16" s="203">
        <f t="shared" ref="AH16:AH21" si="17">AC16</f>
        <v>95.79</v>
      </c>
      <c r="AI16" s="203">
        <f t="shared" ref="AI16:AI21" si="18">AD16</f>
        <v>49.49</v>
      </c>
      <c r="AJ16" s="203">
        <f t="shared" ref="AJ16:AJ21" si="19">AE16</f>
        <v>49.49</v>
      </c>
      <c r="AK16" s="203">
        <f t="shared" ref="AK16:AK21" si="20">AF16</f>
        <v>269.92</v>
      </c>
      <c r="AL16" s="203">
        <f t="shared" ref="AL16:AL21" si="21">AG16</f>
        <v>329.17</v>
      </c>
      <c r="AM16" s="63"/>
      <c r="AN16" s="63"/>
      <c r="AO16" s="63"/>
      <c r="AP16" s="63"/>
    </row>
    <row r="17" spans="2:42" x14ac:dyDescent="0.2">
      <c r="B17" s="28" t="s">
        <v>91</v>
      </c>
      <c r="C17" s="31" t="s">
        <v>91</v>
      </c>
      <c r="D17" s="203">
        <f t="shared" si="3"/>
        <v>48.93</v>
      </c>
      <c r="E17" s="203">
        <f t="shared" si="3"/>
        <v>24.745000000000001</v>
      </c>
      <c r="F17" s="203">
        <f t="shared" si="3"/>
        <v>27.475000000000001</v>
      </c>
      <c r="G17" s="203">
        <f t="shared" si="3"/>
        <v>134.96</v>
      </c>
      <c r="H17" s="203">
        <f t="shared" si="3"/>
        <v>164.58500000000001</v>
      </c>
      <c r="I17" s="203">
        <f t="shared" si="4"/>
        <v>48.93</v>
      </c>
      <c r="J17" s="203">
        <f t="shared" si="4"/>
        <v>24.745000000000001</v>
      </c>
      <c r="K17" s="203">
        <f t="shared" si="4"/>
        <v>27.475000000000001</v>
      </c>
      <c r="L17" s="203">
        <f t="shared" si="4"/>
        <v>134.96</v>
      </c>
      <c r="M17" s="203">
        <f t="shared" si="4"/>
        <v>164.58500000000001</v>
      </c>
      <c r="N17" s="203">
        <f t="shared" si="5"/>
        <v>17.859450000000002</v>
      </c>
      <c r="O17" s="203">
        <f t="shared" si="6"/>
        <v>9.0319250000000011</v>
      </c>
      <c r="P17" s="203">
        <f t="shared" si="7"/>
        <v>10.028375</v>
      </c>
      <c r="Q17" s="203">
        <f t="shared" si="8"/>
        <v>49.260400000000004</v>
      </c>
      <c r="R17" s="203">
        <f t="shared" si="9"/>
        <v>60.073525000000004</v>
      </c>
      <c r="S17" s="203">
        <f t="shared" si="10"/>
        <v>29.250735000000002</v>
      </c>
      <c r="T17" s="203">
        <f t="shared" si="11"/>
        <v>17.859450000000002</v>
      </c>
      <c r="U17" s="203">
        <f t="shared" si="12"/>
        <v>9.0319250000000011</v>
      </c>
      <c r="V17" s="203">
        <f t="shared" si="13"/>
        <v>10.028375</v>
      </c>
      <c r="W17" s="203">
        <f t="shared" si="14"/>
        <v>49.260400000000004</v>
      </c>
      <c r="X17" s="203">
        <f t="shared" si="15"/>
        <v>60.073525000000004</v>
      </c>
      <c r="Y17" s="203">
        <f t="shared" si="16"/>
        <v>29.250735000000002</v>
      </c>
      <c r="AA17" s="28" t="s">
        <v>91</v>
      </c>
      <c r="AB17" s="31" t="s">
        <v>91</v>
      </c>
      <c r="AC17" s="209">
        <v>97.86</v>
      </c>
      <c r="AD17" s="209">
        <v>49.49</v>
      </c>
      <c r="AE17" s="209">
        <v>54.95</v>
      </c>
      <c r="AF17" s="209">
        <v>269.92</v>
      </c>
      <c r="AG17" s="209">
        <v>329.17</v>
      </c>
      <c r="AH17" s="203">
        <f t="shared" si="17"/>
        <v>97.86</v>
      </c>
      <c r="AI17" s="203">
        <f t="shared" si="18"/>
        <v>49.49</v>
      </c>
      <c r="AJ17" s="203">
        <f t="shared" si="19"/>
        <v>54.95</v>
      </c>
      <c r="AK17" s="203">
        <f t="shared" si="20"/>
        <v>269.92</v>
      </c>
      <c r="AL17" s="203">
        <f t="shared" si="21"/>
        <v>329.17</v>
      </c>
      <c r="AN17" s="63"/>
      <c r="AO17" s="63"/>
      <c r="AP17" s="63"/>
    </row>
    <row r="18" spans="2:42" x14ac:dyDescent="0.2">
      <c r="B18" s="28" t="s">
        <v>93</v>
      </c>
      <c r="C18" s="31" t="s">
        <v>211</v>
      </c>
      <c r="D18" s="203">
        <f t="shared" si="3"/>
        <v>47.895000000000003</v>
      </c>
      <c r="E18" s="203">
        <f t="shared" si="3"/>
        <v>24.745000000000001</v>
      </c>
      <c r="F18" s="203">
        <f t="shared" si="3"/>
        <v>24.745000000000001</v>
      </c>
      <c r="G18" s="203">
        <f t="shared" si="3"/>
        <v>134.96</v>
      </c>
      <c r="H18" s="203">
        <f t="shared" si="3"/>
        <v>164.58500000000001</v>
      </c>
      <c r="I18" s="203">
        <f t="shared" si="4"/>
        <v>47.895000000000003</v>
      </c>
      <c r="J18" s="203">
        <f t="shared" si="4"/>
        <v>24.745000000000001</v>
      </c>
      <c r="K18" s="203">
        <f t="shared" si="4"/>
        <v>24.745000000000001</v>
      </c>
      <c r="L18" s="203">
        <f t="shared" si="4"/>
        <v>134.96</v>
      </c>
      <c r="M18" s="203">
        <f t="shared" si="4"/>
        <v>164.58500000000001</v>
      </c>
      <c r="N18" s="203">
        <f t="shared" si="5"/>
        <v>17.481675000000003</v>
      </c>
      <c r="O18" s="203">
        <f t="shared" si="6"/>
        <v>9.0319250000000011</v>
      </c>
      <c r="P18" s="203">
        <f t="shared" si="7"/>
        <v>9.0319250000000011</v>
      </c>
      <c r="Q18" s="203">
        <f t="shared" si="8"/>
        <v>49.260400000000004</v>
      </c>
      <c r="R18" s="203">
        <f t="shared" si="9"/>
        <v>60.073525000000004</v>
      </c>
      <c r="S18" s="203">
        <f t="shared" si="10"/>
        <v>28.975890000000003</v>
      </c>
      <c r="T18" s="203">
        <f t="shared" si="11"/>
        <v>17.481675000000003</v>
      </c>
      <c r="U18" s="203">
        <f t="shared" si="12"/>
        <v>9.0319250000000011</v>
      </c>
      <c r="V18" s="203">
        <f t="shared" si="13"/>
        <v>9.0319250000000011</v>
      </c>
      <c r="W18" s="203">
        <f t="shared" si="14"/>
        <v>49.260400000000004</v>
      </c>
      <c r="X18" s="203">
        <f t="shared" si="15"/>
        <v>60.073525000000004</v>
      </c>
      <c r="Y18" s="203">
        <f t="shared" si="16"/>
        <v>28.975890000000003</v>
      </c>
      <c r="AA18" s="28" t="s">
        <v>93</v>
      </c>
      <c r="AB18" s="31" t="s">
        <v>211</v>
      </c>
      <c r="AC18" s="209">
        <v>95.79</v>
      </c>
      <c r="AD18" s="209">
        <v>49.49</v>
      </c>
      <c r="AE18" s="209">
        <v>49.49</v>
      </c>
      <c r="AF18" s="209">
        <v>269.92</v>
      </c>
      <c r="AG18" s="209">
        <v>329.17</v>
      </c>
      <c r="AH18" s="203">
        <f t="shared" si="17"/>
        <v>95.79</v>
      </c>
      <c r="AI18" s="203">
        <f t="shared" si="18"/>
        <v>49.49</v>
      </c>
      <c r="AJ18" s="203">
        <f t="shared" si="19"/>
        <v>49.49</v>
      </c>
      <c r="AK18" s="203">
        <f t="shared" si="20"/>
        <v>269.92</v>
      </c>
      <c r="AL18" s="203">
        <f t="shared" si="21"/>
        <v>329.17</v>
      </c>
      <c r="AM18" s="63"/>
      <c r="AN18" s="63"/>
      <c r="AO18" s="63"/>
      <c r="AP18" s="63"/>
    </row>
    <row r="19" spans="2:42" x14ac:dyDescent="0.2">
      <c r="B19" s="28" t="s">
        <v>95</v>
      </c>
      <c r="C19" s="31" t="s">
        <v>212</v>
      </c>
      <c r="D19" s="203">
        <f t="shared" si="3"/>
        <v>25</v>
      </c>
      <c r="E19" s="203">
        <f t="shared" si="3"/>
        <v>17.065000000000001</v>
      </c>
      <c r="F19" s="203">
        <f t="shared" si="3"/>
        <v>14.46</v>
      </c>
      <c r="G19" s="203">
        <f t="shared" si="3"/>
        <v>134.96</v>
      </c>
      <c r="H19" s="203">
        <f t="shared" si="3"/>
        <v>164.58500000000001</v>
      </c>
      <c r="I19" s="203">
        <f t="shared" si="4"/>
        <v>25</v>
      </c>
      <c r="J19" s="203">
        <f t="shared" si="4"/>
        <v>17.065000000000001</v>
      </c>
      <c r="K19" s="203">
        <f t="shared" si="4"/>
        <v>14.46</v>
      </c>
      <c r="L19" s="203">
        <f t="shared" si="4"/>
        <v>134.96</v>
      </c>
      <c r="M19" s="203">
        <f t="shared" si="4"/>
        <v>164.58500000000001</v>
      </c>
      <c r="N19" s="203">
        <f t="shared" si="5"/>
        <v>9.125</v>
      </c>
      <c r="O19" s="203">
        <f t="shared" si="6"/>
        <v>6.2287250000000007</v>
      </c>
      <c r="P19" s="203">
        <f t="shared" si="7"/>
        <v>5.2779000000000007</v>
      </c>
      <c r="Q19" s="203">
        <f t="shared" si="8"/>
        <v>49.260400000000004</v>
      </c>
      <c r="R19" s="203">
        <f t="shared" si="9"/>
        <v>60.073525000000004</v>
      </c>
      <c r="S19" s="203">
        <f t="shared" si="10"/>
        <v>25.993110000000001</v>
      </c>
      <c r="T19" s="203">
        <f t="shared" si="11"/>
        <v>9.125</v>
      </c>
      <c r="U19" s="203">
        <f t="shared" si="12"/>
        <v>6.2287250000000007</v>
      </c>
      <c r="V19" s="203">
        <f t="shared" si="13"/>
        <v>5.2779000000000007</v>
      </c>
      <c r="W19" s="203">
        <f t="shared" si="14"/>
        <v>49.260400000000004</v>
      </c>
      <c r="X19" s="203">
        <f t="shared" si="15"/>
        <v>60.073525000000004</v>
      </c>
      <c r="Y19" s="203">
        <f t="shared" si="16"/>
        <v>25.993110000000001</v>
      </c>
      <c r="AA19" s="28" t="s">
        <v>95</v>
      </c>
      <c r="AB19" s="31" t="s">
        <v>212</v>
      </c>
      <c r="AC19" s="209">
        <v>50</v>
      </c>
      <c r="AD19" s="209">
        <v>34.130000000000003</v>
      </c>
      <c r="AE19" s="209">
        <v>28.92</v>
      </c>
      <c r="AF19" s="209">
        <v>269.92</v>
      </c>
      <c r="AG19" s="209">
        <v>329.17</v>
      </c>
      <c r="AH19" s="203">
        <f t="shared" si="17"/>
        <v>50</v>
      </c>
      <c r="AI19" s="203">
        <f t="shared" si="18"/>
        <v>34.130000000000003</v>
      </c>
      <c r="AJ19" s="203">
        <f t="shared" si="19"/>
        <v>28.92</v>
      </c>
      <c r="AK19" s="203">
        <f t="shared" si="20"/>
        <v>269.92</v>
      </c>
      <c r="AL19" s="203">
        <f t="shared" si="21"/>
        <v>329.17</v>
      </c>
      <c r="AM19" s="63"/>
      <c r="AN19" s="63"/>
      <c r="AO19" s="63"/>
      <c r="AP19" s="63"/>
    </row>
    <row r="20" spans="2:42" x14ac:dyDescent="0.2">
      <c r="B20" s="28" t="s">
        <v>97</v>
      </c>
      <c r="C20" s="31" t="s">
        <v>213</v>
      </c>
      <c r="D20" s="203">
        <f t="shared" si="3"/>
        <v>47.895000000000003</v>
      </c>
      <c r="E20" s="203">
        <f t="shared" si="3"/>
        <v>24.745000000000001</v>
      </c>
      <c r="F20" s="203">
        <f t="shared" si="3"/>
        <v>24.745000000000001</v>
      </c>
      <c r="G20" s="203">
        <f t="shared" si="3"/>
        <v>134.96</v>
      </c>
      <c r="H20" s="203">
        <f t="shared" si="3"/>
        <v>164.58500000000001</v>
      </c>
      <c r="I20" s="203">
        <f t="shared" si="4"/>
        <v>47.895000000000003</v>
      </c>
      <c r="J20" s="203">
        <f t="shared" si="4"/>
        <v>24.745000000000001</v>
      </c>
      <c r="K20" s="203">
        <f t="shared" si="4"/>
        <v>24.745000000000001</v>
      </c>
      <c r="L20" s="203">
        <f t="shared" si="4"/>
        <v>134.96</v>
      </c>
      <c r="M20" s="203">
        <f t="shared" si="4"/>
        <v>164.58500000000001</v>
      </c>
      <c r="N20" s="203">
        <f t="shared" si="5"/>
        <v>17.481675000000003</v>
      </c>
      <c r="O20" s="203">
        <f t="shared" si="6"/>
        <v>9.0319250000000011</v>
      </c>
      <c r="P20" s="203">
        <f t="shared" si="7"/>
        <v>9.0319250000000011</v>
      </c>
      <c r="Q20" s="203">
        <f t="shared" si="8"/>
        <v>49.260400000000004</v>
      </c>
      <c r="R20" s="203">
        <f t="shared" si="9"/>
        <v>60.073525000000004</v>
      </c>
      <c r="S20" s="203">
        <f t="shared" si="10"/>
        <v>28.975890000000003</v>
      </c>
      <c r="T20" s="203">
        <f t="shared" si="11"/>
        <v>17.481675000000003</v>
      </c>
      <c r="U20" s="203">
        <f t="shared" si="12"/>
        <v>9.0319250000000011</v>
      </c>
      <c r="V20" s="203">
        <f t="shared" si="13"/>
        <v>9.0319250000000011</v>
      </c>
      <c r="W20" s="203">
        <f t="shared" si="14"/>
        <v>49.260400000000004</v>
      </c>
      <c r="X20" s="203">
        <f t="shared" si="15"/>
        <v>60.073525000000004</v>
      </c>
      <c r="Y20" s="203">
        <f t="shared" si="16"/>
        <v>28.975890000000003</v>
      </c>
      <c r="AA20" s="28" t="s">
        <v>97</v>
      </c>
      <c r="AB20" s="31" t="s">
        <v>213</v>
      </c>
      <c r="AC20" s="209">
        <v>95.79</v>
      </c>
      <c r="AD20" s="209">
        <v>49.49</v>
      </c>
      <c r="AE20" s="209">
        <v>49.49</v>
      </c>
      <c r="AF20" s="209">
        <v>269.92</v>
      </c>
      <c r="AG20" s="209">
        <v>329.17</v>
      </c>
      <c r="AH20" s="203">
        <f t="shared" si="17"/>
        <v>95.79</v>
      </c>
      <c r="AI20" s="203">
        <f t="shared" si="18"/>
        <v>49.49</v>
      </c>
      <c r="AJ20" s="203">
        <f t="shared" si="19"/>
        <v>49.49</v>
      </c>
      <c r="AK20" s="203">
        <f t="shared" si="20"/>
        <v>269.92</v>
      </c>
      <c r="AL20" s="203">
        <f t="shared" si="21"/>
        <v>329.17</v>
      </c>
      <c r="AM20" s="63"/>
      <c r="AN20" s="63"/>
      <c r="AO20" s="63"/>
      <c r="AP20" s="63"/>
    </row>
    <row r="21" spans="2:42" x14ac:dyDescent="0.2">
      <c r="B21" s="28" t="s">
        <v>66</v>
      </c>
      <c r="C21" s="31" t="s">
        <v>214</v>
      </c>
      <c r="D21" s="203">
        <f t="shared" si="3"/>
        <v>25</v>
      </c>
      <c r="E21" s="203">
        <f t="shared" si="3"/>
        <v>17.065000000000001</v>
      </c>
      <c r="F21" s="203">
        <f t="shared" si="3"/>
        <v>14.46</v>
      </c>
      <c r="G21" s="203">
        <f t="shared" si="3"/>
        <v>134.96</v>
      </c>
      <c r="H21" s="203">
        <f t="shared" si="3"/>
        <v>164.58500000000001</v>
      </c>
      <c r="I21" s="203">
        <f t="shared" si="4"/>
        <v>25</v>
      </c>
      <c r="J21" s="203">
        <f t="shared" si="4"/>
        <v>17.065000000000001</v>
      </c>
      <c r="K21" s="203">
        <f t="shared" si="4"/>
        <v>14.46</v>
      </c>
      <c r="L21" s="203">
        <f t="shared" si="4"/>
        <v>134.96</v>
      </c>
      <c r="M21" s="203">
        <f t="shared" si="4"/>
        <v>164.58500000000001</v>
      </c>
      <c r="N21" s="203">
        <f t="shared" si="5"/>
        <v>9.125</v>
      </c>
      <c r="O21" s="203">
        <f t="shared" si="6"/>
        <v>6.2287250000000007</v>
      </c>
      <c r="P21" s="203">
        <f t="shared" si="7"/>
        <v>5.2779000000000007</v>
      </c>
      <c r="Q21" s="203">
        <f t="shared" si="8"/>
        <v>49.260400000000004</v>
      </c>
      <c r="R21" s="203">
        <f t="shared" si="9"/>
        <v>60.073525000000004</v>
      </c>
      <c r="S21" s="203">
        <f t="shared" si="10"/>
        <v>25.993110000000001</v>
      </c>
      <c r="T21" s="203">
        <f t="shared" si="11"/>
        <v>9.125</v>
      </c>
      <c r="U21" s="203">
        <f t="shared" si="12"/>
        <v>6.2287250000000007</v>
      </c>
      <c r="V21" s="203">
        <f t="shared" si="13"/>
        <v>5.2779000000000007</v>
      </c>
      <c r="W21" s="203">
        <f t="shared" si="14"/>
        <v>49.260400000000004</v>
      </c>
      <c r="X21" s="203">
        <f t="shared" si="15"/>
        <v>60.073525000000004</v>
      </c>
      <c r="Y21" s="203">
        <f t="shared" si="16"/>
        <v>25.993110000000001</v>
      </c>
      <c r="AA21" s="28" t="s">
        <v>66</v>
      </c>
      <c r="AB21" s="31" t="s">
        <v>214</v>
      </c>
      <c r="AC21" s="209">
        <v>50</v>
      </c>
      <c r="AD21" s="209">
        <v>34.130000000000003</v>
      </c>
      <c r="AE21" s="209">
        <v>28.92</v>
      </c>
      <c r="AF21" s="209">
        <v>269.92</v>
      </c>
      <c r="AG21" s="209">
        <v>329.17</v>
      </c>
      <c r="AH21" s="203">
        <f t="shared" si="17"/>
        <v>50</v>
      </c>
      <c r="AI21" s="203">
        <f t="shared" si="18"/>
        <v>34.130000000000003</v>
      </c>
      <c r="AJ21" s="203">
        <f t="shared" si="19"/>
        <v>28.92</v>
      </c>
      <c r="AK21" s="203">
        <f t="shared" si="20"/>
        <v>269.92</v>
      </c>
      <c r="AL21" s="203">
        <f t="shared" si="21"/>
        <v>329.17</v>
      </c>
      <c r="AM21" s="63"/>
      <c r="AN21" s="63"/>
      <c r="AO21" s="63"/>
      <c r="AP21" s="63"/>
    </row>
    <row r="22" spans="2:42" x14ac:dyDescent="0.2">
      <c r="F22" s="77"/>
      <c r="G22" s="77"/>
      <c r="H22" s="77"/>
      <c r="I22" s="77"/>
      <c r="J22" s="77"/>
      <c r="AA22" s="351" t="s">
        <v>215</v>
      </c>
      <c r="AB22" s="351"/>
      <c r="AC22" s="351"/>
      <c r="AD22" s="351"/>
      <c r="AE22" s="351"/>
      <c r="AF22" s="351"/>
      <c r="AG22" s="351"/>
      <c r="AH22" s="351"/>
      <c r="AI22" s="351"/>
      <c r="AJ22" s="351"/>
      <c r="AK22" s="351"/>
      <c r="AL22" s="351"/>
    </row>
    <row r="23" spans="2:42" x14ac:dyDescent="0.2">
      <c r="F23" s="76"/>
      <c r="G23" s="76"/>
      <c r="H23" s="76"/>
      <c r="I23" s="76"/>
      <c r="J23" s="76"/>
      <c r="AA23" s="351"/>
      <c r="AB23" s="351"/>
      <c r="AC23" s="351"/>
      <c r="AD23" s="351"/>
      <c r="AE23" s="351"/>
      <c r="AF23" s="351"/>
      <c r="AG23" s="351"/>
      <c r="AH23" s="351"/>
      <c r="AI23" s="351"/>
      <c r="AJ23" s="351"/>
      <c r="AK23" s="351"/>
      <c r="AL23" s="351"/>
    </row>
    <row r="24" spans="2:42" x14ac:dyDescent="0.2">
      <c r="B24" s="349" t="s">
        <v>216</v>
      </c>
      <c r="C24" s="349"/>
      <c r="D24" s="349"/>
      <c r="E24" s="349"/>
      <c r="F24" s="349"/>
      <c r="G24" s="349"/>
      <c r="H24" s="349"/>
      <c r="I24" s="349"/>
      <c r="J24" s="349"/>
      <c r="K24" s="349"/>
      <c r="L24" s="349"/>
      <c r="M24" s="349"/>
      <c r="N24" s="349"/>
      <c r="O24" s="349"/>
      <c r="P24" s="349"/>
      <c r="Q24" s="349"/>
      <c r="R24" s="349"/>
      <c r="AA24" s="232"/>
      <c r="AE24" s="86"/>
      <c r="AF24" s="86"/>
      <c r="AG24" s="86"/>
      <c r="AH24" s="86"/>
      <c r="AI24" s="239"/>
      <c r="AJ24" s="86"/>
    </row>
    <row r="25" spans="2:42" ht="14.45" customHeight="1" x14ac:dyDescent="0.2">
      <c r="B25" s="350" t="s">
        <v>67</v>
      </c>
      <c r="C25" s="350" t="s">
        <v>217</v>
      </c>
      <c r="D25" s="350" t="s">
        <v>218</v>
      </c>
      <c r="E25" s="349" t="s">
        <v>107</v>
      </c>
      <c r="F25" s="349"/>
      <c r="G25" s="349"/>
      <c r="H25" s="349"/>
      <c r="I25" s="349"/>
      <c r="J25" s="349"/>
      <c r="K25" s="349"/>
      <c r="L25" s="349" t="s">
        <v>101</v>
      </c>
      <c r="M25" s="349"/>
      <c r="N25" s="349"/>
      <c r="O25" s="349"/>
      <c r="P25" s="349"/>
      <c r="Q25" s="349"/>
      <c r="R25" s="349"/>
      <c r="S25" s="350" t="s">
        <v>219</v>
      </c>
      <c r="T25" s="350" t="s">
        <v>220</v>
      </c>
      <c r="AE25" s="86"/>
      <c r="AF25" s="86"/>
      <c r="AG25" s="240"/>
      <c r="AH25" s="240"/>
      <c r="AI25" s="240"/>
      <c r="AJ25" s="86"/>
    </row>
    <row r="26" spans="2:42" x14ac:dyDescent="0.2">
      <c r="B26" s="350"/>
      <c r="C26" s="350"/>
      <c r="D26" s="350"/>
      <c r="E26" s="287" t="s">
        <v>85</v>
      </c>
      <c r="F26" s="287" t="s">
        <v>88</v>
      </c>
      <c r="G26" s="287" t="s">
        <v>91</v>
      </c>
      <c r="H26" s="287" t="s">
        <v>93</v>
      </c>
      <c r="I26" s="287" t="s">
        <v>95</v>
      </c>
      <c r="J26" s="287" t="s">
        <v>97</v>
      </c>
      <c r="K26" s="287" t="s">
        <v>66</v>
      </c>
      <c r="L26" s="287" t="s">
        <v>85</v>
      </c>
      <c r="M26" s="287" t="s">
        <v>88</v>
      </c>
      <c r="N26" s="287" t="s">
        <v>91</v>
      </c>
      <c r="O26" s="287" t="s">
        <v>93</v>
      </c>
      <c r="P26" s="287" t="s">
        <v>95</v>
      </c>
      <c r="Q26" s="287" t="s">
        <v>97</v>
      </c>
      <c r="R26" s="287" t="s">
        <v>66</v>
      </c>
      <c r="S26" s="350" t="s">
        <v>219</v>
      </c>
      <c r="T26" s="350" t="s">
        <v>221</v>
      </c>
      <c r="AE26" s="86"/>
      <c r="AF26" s="86"/>
      <c r="AG26" s="240"/>
      <c r="AH26" s="240"/>
      <c r="AI26" s="240"/>
      <c r="AJ26" s="86"/>
    </row>
    <row r="27" spans="2:42" x14ac:dyDescent="0.2">
      <c r="B27" s="29">
        <v>18</v>
      </c>
      <c r="C27" s="29">
        <v>2026</v>
      </c>
      <c r="D27" s="29">
        <v>2027</v>
      </c>
      <c r="E27" s="204">
        <f t="shared" ref="E27:R27" ca="1" si="22">IFERROR(IF($T27="annual",OFFSET($M$14,MATCH(E$26,$B$15:$B$21,0),MATCH(_xlfn.CONCAT($C27,"/",$D27),$N$14:$R$14,0),1,1),IF($S27=0,OFFSET($S$14,MATCH(E$26,$B$15:$B$21,0),0,1,1),E26*(1+Inflation_Rate+BLS_Esc_Rate))),"Data Missing")</f>
        <v>60.073525000000004</v>
      </c>
      <c r="F27" s="204">
        <f t="shared" ca="1" si="22"/>
        <v>60.073525000000004</v>
      </c>
      <c r="G27" s="204">
        <f t="shared" ca="1" si="22"/>
        <v>60.073525000000004</v>
      </c>
      <c r="H27" s="204">
        <f t="shared" ca="1" si="22"/>
        <v>60.073525000000004</v>
      </c>
      <c r="I27" s="204">
        <f t="shared" ca="1" si="22"/>
        <v>60.073525000000004</v>
      </c>
      <c r="J27" s="204">
        <f t="shared" ca="1" si="22"/>
        <v>60.073525000000004</v>
      </c>
      <c r="K27" s="204">
        <f t="shared" ca="1" si="22"/>
        <v>60.073525000000004</v>
      </c>
      <c r="L27" s="204">
        <f t="shared" ca="1" si="22"/>
        <v>60.073525000000004</v>
      </c>
      <c r="M27" s="204">
        <f t="shared" ca="1" si="22"/>
        <v>60.073525000000004</v>
      </c>
      <c r="N27" s="204">
        <f t="shared" ca="1" si="22"/>
        <v>60.073525000000004</v>
      </c>
      <c r="O27" s="204">
        <f t="shared" ca="1" si="22"/>
        <v>60.073525000000004</v>
      </c>
      <c r="P27" s="204">
        <f t="shared" ca="1" si="22"/>
        <v>60.073525000000004</v>
      </c>
      <c r="Q27" s="204">
        <f t="shared" ca="1" si="22"/>
        <v>60.073525000000004</v>
      </c>
      <c r="R27" s="204">
        <f t="shared" ca="1" si="22"/>
        <v>60.073525000000004</v>
      </c>
      <c r="S27" s="241">
        <v>0</v>
      </c>
      <c r="T27" s="241" t="s">
        <v>222</v>
      </c>
      <c r="U27" s="347"/>
      <c r="V27" s="348"/>
      <c r="W27" s="348"/>
      <c r="X27" s="63"/>
      <c r="Y27" s="63"/>
      <c r="AC27" s="86"/>
      <c r="AD27" s="86"/>
      <c r="AE27" s="86"/>
      <c r="AF27" s="86"/>
      <c r="AG27" s="86"/>
      <c r="AI27" s="63"/>
    </row>
    <row r="28" spans="2:42" x14ac:dyDescent="0.2">
      <c r="B28" s="29">
        <f>B27+1</f>
        <v>19</v>
      </c>
      <c r="C28" s="29">
        <f>C27+1</f>
        <v>2027</v>
      </c>
      <c r="D28" s="29">
        <f>D27+1</f>
        <v>2028</v>
      </c>
      <c r="E28" s="204">
        <f t="shared" ref="E28:R28" ca="1" si="23">IFERROR(IF($T28="annual",OFFSET($M$14,MATCH(E$26,$B$15:$B$21,0),MATCH(_xlfn.CONCAT($C28,"/",$D28),$N$14:$R$14,0),1,1),IF($S28=0,OFFSET($S$14,MATCH(E$26,$B$15:$B$21,0),0,1,1),E27*(1+Inflation_Rate+BLS_Esc_Rate))),"Data Missing")</f>
        <v>25.993110000000001</v>
      </c>
      <c r="F28" s="204">
        <f t="shared" ca="1" si="23"/>
        <v>28.975890000000003</v>
      </c>
      <c r="G28" s="204">
        <f t="shared" ca="1" si="23"/>
        <v>29.250735000000002</v>
      </c>
      <c r="H28" s="204">
        <f t="shared" ca="1" si="23"/>
        <v>28.975890000000003</v>
      </c>
      <c r="I28" s="204">
        <f t="shared" ca="1" si="23"/>
        <v>25.993110000000001</v>
      </c>
      <c r="J28" s="204">
        <f t="shared" ca="1" si="23"/>
        <v>28.975890000000003</v>
      </c>
      <c r="K28" s="204">
        <f t="shared" ca="1" si="23"/>
        <v>25.993110000000001</v>
      </c>
      <c r="L28" s="204">
        <f t="shared" ca="1" si="23"/>
        <v>25.993110000000001</v>
      </c>
      <c r="M28" s="204">
        <f t="shared" ca="1" si="23"/>
        <v>28.975890000000003</v>
      </c>
      <c r="N28" s="204">
        <f t="shared" ca="1" si="23"/>
        <v>29.250735000000002</v>
      </c>
      <c r="O28" s="204">
        <f t="shared" ca="1" si="23"/>
        <v>28.975890000000003</v>
      </c>
      <c r="P28" s="204">
        <f t="shared" ca="1" si="23"/>
        <v>25.993110000000001</v>
      </c>
      <c r="Q28" s="204">
        <f t="shared" ca="1" si="23"/>
        <v>28.975890000000003</v>
      </c>
      <c r="R28" s="204">
        <f t="shared" ca="1" si="23"/>
        <v>25.993110000000001</v>
      </c>
      <c r="S28" s="241">
        <v>0</v>
      </c>
      <c r="T28" s="241" t="s">
        <v>223</v>
      </c>
      <c r="U28" s="347"/>
      <c r="V28" s="348"/>
      <c r="W28" s="348"/>
      <c r="X28" s="63"/>
      <c r="AA28" s="95"/>
    </row>
    <row r="29" spans="2:42" x14ac:dyDescent="0.2">
      <c r="B29" s="29">
        <f t="shared" ref="B29:D48" si="24">B28+1</f>
        <v>20</v>
      </c>
      <c r="C29" s="29">
        <f t="shared" si="24"/>
        <v>2028</v>
      </c>
      <c r="D29" s="29">
        <f t="shared" si="24"/>
        <v>2029</v>
      </c>
      <c r="E29" s="204">
        <f t="shared" ref="E29:R30" ca="1" si="25">IFERROR(IF($T29="annual",OFFSET($M$14,MATCH(E$26,$B$15:$B$21,0),MATCH(_xlfn.CONCAT($C29,"/",$D29),$N$14:$R$14,0),1,1),IF($S29=0,OFFSET($S$14,MATCH(E$26,$B$15:$B$21,0),0,1,1),E28*(1+Inflation_Rate+BLS_Esc_Rate))),"Data Missing")</f>
        <v>26.531568546614423</v>
      </c>
      <c r="F29" s="204">
        <f t="shared" ca="1" si="25"/>
        <v>29.576138127917723</v>
      </c>
      <c r="G29" s="204">
        <f t="shared" ca="1" si="25"/>
        <v>29.856676661290383</v>
      </c>
      <c r="H29" s="204">
        <f t="shared" ca="1" si="25"/>
        <v>29.576138127917723</v>
      </c>
      <c r="I29" s="204">
        <f t="shared" ca="1" si="25"/>
        <v>26.531568546614423</v>
      </c>
      <c r="J29" s="204">
        <f t="shared" ca="1" si="25"/>
        <v>29.576138127917723</v>
      </c>
      <c r="K29" s="204">
        <f t="shared" ca="1" si="25"/>
        <v>26.531568546614423</v>
      </c>
      <c r="L29" s="204">
        <f t="shared" ca="1" si="25"/>
        <v>26.531568546614423</v>
      </c>
      <c r="M29" s="204">
        <f t="shared" ca="1" si="25"/>
        <v>29.576138127917723</v>
      </c>
      <c r="N29" s="204">
        <f t="shared" ca="1" si="25"/>
        <v>29.856676661290383</v>
      </c>
      <c r="O29" s="204">
        <f t="shared" ca="1" si="25"/>
        <v>29.576138127917723</v>
      </c>
      <c r="P29" s="204">
        <f t="shared" ca="1" si="25"/>
        <v>26.531568546614423</v>
      </c>
      <c r="Q29" s="204">
        <f t="shared" ca="1" si="25"/>
        <v>29.576138127917723</v>
      </c>
      <c r="R29" s="204">
        <f t="shared" ca="1" si="25"/>
        <v>26.531568546614423</v>
      </c>
      <c r="S29" s="241">
        <v>1</v>
      </c>
      <c r="T29" s="241" t="str">
        <f t="shared" ref="T29:T48" si="26">IF(ISNUMBER(MATCH(_xlfn.CONCAT($C29,"/",$D29),$N$14:$R$14,0)),"annual","average")</f>
        <v>average</v>
      </c>
      <c r="U29" s="347"/>
      <c r="V29" s="348"/>
      <c r="W29" s="348"/>
      <c r="X29" s="63"/>
    </row>
    <row r="30" spans="2:42" x14ac:dyDescent="0.2">
      <c r="B30" s="29">
        <f t="shared" si="24"/>
        <v>21</v>
      </c>
      <c r="C30" s="29">
        <f t="shared" si="24"/>
        <v>2029</v>
      </c>
      <c r="D30" s="29">
        <f t="shared" si="24"/>
        <v>2030</v>
      </c>
      <c r="E30" s="204">
        <f t="shared" ca="1" si="25"/>
        <v>27.081181495546311</v>
      </c>
      <c r="F30" s="204">
        <f t="shared" ca="1" si="25"/>
        <v>30.188820656127159</v>
      </c>
      <c r="G30" s="204">
        <f t="shared" ca="1" si="25"/>
        <v>30.475170666885525</v>
      </c>
      <c r="H30" s="204">
        <f t="shared" ca="1" si="25"/>
        <v>30.188820656127159</v>
      </c>
      <c r="I30" s="204">
        <f t="shared" ca="1" si="25"/>
        <v>27.081181495546311</v>
      </c>
      <c r="J30" s="204">
        <f t="shared" ca="1" si="25"/>
        <v>30.188820656127159</v>
      </c>
      <c r="K30" s="204">
        <f t="shared" ca="1" si="25"/>
        <v>27.081181495546311</v>
      </c>
      <c r="L30" s="204">
        <f t="shared" ca="1" si="25"/>
        <v>27.081181495546311</v>
      </c>
      <c r="M30" s="204">
        <f t="shared" ca="1" si="25"/>
        <v>30.188820656127159</v>
      </c>
      <c r="N30" s="204">
        <f t="shared" ca="1" si="25"/>
        <v>30.475170666885525</v>
      </c>
      <c r="O30" s="204">
        <f t="shared" ca="1" si="25"/>
        <v>30.188820656127159</v>
      </c>
      <c r="P30" s="204">
        <f t="shared" ca="1" si="25"/>
        <v>27.081181495546311</v>
      </c>
      <c r="Q30" s="204">
        <f t="shared" ca="1" si="25"/>
        <v>30.188820656127159</v>
      </c>
      <c r="R30" s="204">
        <f t="shared" ca="1" si="25"/>
        <v>27.081181495546311</v>
      </c>
      <c r="S30" s="29">
        <f t="shared" ref="S30:S48" si="27">IF(AND(T30="average",T29="annual"),0,IF(S29=1,1,IF(OR(ISNUMBER(MATCH(_xlfn.CONCAT($C30,"/",$D30),$AC$14:$AG$14,0)),ISNUMBER(MATCH(_xlfn.CONCAT($C29,"/",$D29),$AE$14:$AG$14,0))),0,1)))</f>
        <v>1</v>
      </c>
      <c r="T30" s="29" t="str">
        <f t="shared" si="26"/>
        <v>average</v>
      </c>
      <c r="U30" s="63"/>
      <c r="X30" s="63"/>
    </row>
    <row r="31" spans="2:42" x14ac:dyDescent="0.2">
      <c r="B31" s="29">
        <f t="shared" si="24"/>
        <v>22</v>
      </c>
      <c r="C31" s="29">
        <f t="shared" si="24"/>
        <v>2030</v>
      </c>
      <c r="D31" s="29">
        <f t="shared" si="24"/>
        <v>2031</v>
      </c>
      <c r="E31" s="55">
        <f t="shared" ref="E31:E48" ca="1" si="28">IFERROR(IF($T31="annual",OFFSET($M$14,MATCH(E$26,$B$15:$B$21,0),MATCH(_xlfn.CONCAT($C31,"/",$D31),$N$14:$R$14,0),1,1),IF($S31=0,OFFSET($S$14,MATCH(E$26,$B$15:$B$21,0),0,1,1),E30*(1+Inflation_Rate+BLS_Esc_Rate))),"Data Missing")</f>
        <v>27.642179915077225</v>
      </c>
      <c r="F31" s="55">
        <f t="shared" ref="F31:F48" ca="1" si="29">IFERROR(IF($T31="annual",OFFSET($M$14,MATCH(F$26,$B$15:$B$21,0),MATCH(_xlfn.CONCAT($C31,"/",$D31),$N$14:$R$14,0),1,1),IF($S31=0,OFFSET($S$14,MATCH(F$26,$B$15:$B$21,0),0,1,1),F30*(1+Inflation_Rate+BLS_Esc_Rate))),"Data Missing")</f>
        <v>30.814195168623037</v>
      </c>
      <c r="G31" s="55">
        <f t="shared" ref="G31:G48" ca="1" si="30">IFERROR(IF($T31="annual",OFFSET($M$14,MATCH(G$26,$B$15:$B$21,0),MATCH(_xlfn.CONCAT($C31,"/",$D31),$N$14:$R$14,0),1,1),IF($S31=0,OFFSET($S$14,MATCH(G$26,$B$15:$B$21,0),0,1,1),G30*(1+Inflation_Rate+BLS_Esc_Rate))),"Data Missing")</f>
        <v>31.106477044041533</v>
      </c>
      <c r="H31" s="55">
        <f t="shared" ref="H31:H48" ca="1" si="31">IFERROR(IF($T31="annual",OFFSET($M$14,MATCH(H$26,$B$15:$B$21,0),MATCH(_xlfn.CONCAT($C31,"/",$D31),$N$14:$R$14,0),1,1),IF($S31=0,OFFSET($S$14,MATCH(H$26,$B$15:$B$21,0),0,1,1),H30*(1+Inflation_Rate+BLS_Esc_Rate))),"Data Missing")</f>
        <v>30.814195168623037</v>
      </c>
      <c r="I31" s="55">
        <f t="shared" ref="I31:I48" ca="1" si="32">IFERROR(IF($T31="annual",OFFSET($M$14,MATCH(I$26,$B$15:$B$21,0),MATCH(_xlfn.CONCAT($C31,"/",$D31),$N$14:$R$14,0),1,1),IF($S31=0,OFFSET($S$14,MATCH(I$26,$B$15:$B$21,0),0,1,1),I30*(1+Inflation_Rate+BLS_Esc_Rate))),"Data Missing")</f>
        <v>27.642179915077225</v>
      </c>
      <c r="J31" s="55">
        <f t="shared" ref="J31:J48" ca="1" si="33">IFERROR(IF($T31="annual",OFFSET($M$14,MATCH(J$26,$B$15:$B$21,0),MATCH(_xlfn.CONCAT($C31,"/",$D31),$N$14:$R$14,0),1,1),IF($S31=0,OFFSET($S$14,MATCH(J$26,$B$15:$B$21,0),0,1,1),J30*(1+Inflation_Rate+BLS_Esc_Rate))),"Data Missing")</f>
        <v>30.814195168623037</v>
      </c>
      <c r="K31" s="55">
        <f t="shared" ref="K31:K48" ca="1" si="34">IFERROR(IF($T31="annual",OFFSET($M$14,MATCH(K$26,$B$15:$B$21,0),MATCH(_xlfn.CONCAT($C31,"/",$D31),$N$14:$R$14,0),1,1),IF($S31=0,OFFSET($S$14,MATCH(K$26,$B$15:$B$21,0),0,1,1),K30*(1+Inflation_Rate+BLS_Esc_Rate))),"Data Missing")</f>
        <v>27.642179915077225</v>
      </c>
      <c r="L31" s="55">
        <f t="shared" ref="L31:L48" ca="1" si="35">IFERROR(IF($T31="annual",OFFSET($S$14,MATCH(L$26,$B$15:$B$21,0),MATCH(_xlfn.CONCAT($C31,"/",$D31),$T$14:$X$14,0),1,1),IF($S31=0,OFFSET($Y$14,MATCH(L$26,$B$15:$B$21,0),0,1,1),L30*(1+Inflation_Rate+BLS_Esc_Rate))),"Data Missing")</f>
        <v>27.642179915077225</v>
      </c>
      <c r="M31" s="55">
        <f t="shared" ref="M31:M48" ca="1" si="36">IFERROR(IF($T31="annual",OFFSET($S$14,MATCH(M$26,$B$15:$B$21,0),MATCH(_xlfn.CONCAT($C31,"/",$D31),$T$14:$X$14,0),1,1),IF($S31=0,OFFSET($Y$14,MATCH(M$26,$B$15:$B$21,0),0,1,1),M30*(1+Inflation_Rate+BLS_Esc_Rate))),"Data Missing")</f>
        <v>30.814195168623037</v>
      </c>
      <c r="N31" s="55">
        <f t="shared" ref="N31:N48" ca="1" si="37">IFERROR(IF($T31="annual",OFFSET($S$14,MATCH(N$26,$B$15:$B$21,0),MATCH(_xlfn.CONCAT($C31,"/",$D31),$T$14:$X$14,0),1,1),IF($S31=0,OFFSET($Y$14,MATCH(N$26,$B$15:$B$21,0),0,1,1),N30*(1+Inflation_Rate+BLS_Esc_Rate))),"Data Missing")</f>
        <v>31.106477044041533</v>
      </c>
      <c r="O31" s="55">
        <f t="shared" ref="O31:O48" ca="1" si="38">IFERROR(IF($T31="annual",OFFSET($S$14,MATCH(O$26,$B$15:$B$21,0),MATCH(_xlfn.CONCAT($C31,"/",$D31),$T$14:$X$14,0),1,1),IF($S31=0,OFFSET($Y$14,MATCH(O$26,$B$15:$B$21,0),0,1,1),O30*(1+Inflation_Rate+BLS_Esc_Rate))),"Data Missing")</f>
        <v>30.814195168623037</v>
      </c>
      <c r="P31" s="55">
        <f t="shared" ref="P31:P48" ca="1" si="39">IFERROR(IF($T31="annual",OFFSET($S$14,MATCH(P$26,$B$15:$B$21,0),MATCH(_xlfn.CONCAT($C31,"/",$D31),$T$14:$X$14,0),1,1),IF($S31=0,OFFSET($Y$14,MATCH(P$26,$B$15:$B$21,0),0,1,1),P30*(1+Inflation_Rate+BLS_Esc_Rate))),"Data Missing")</f>
        <v>27.642179915077225</v>
      </c>
      <c r="Q31" s="55">
        <f t="shared" ref="Q31:Q48" ca="1" si="40">IFERROR(IF($T31="annual",OFFSET($S$14,MATCH(Q$26,$B$15:$B$21,0),MATCH(_xlfn.CONCAT($C31,"/",$D31),$T$14:$X$14,0),1,1),IF($S31=0,OFFSET($Y$14,MATCH(Q$26,$B$15:$B$21,0),0,1,1),Q30*(1+Inflation_Rate+BLS_Esc_Rate))),"Data Missing")</f>
        <v>30.814195168623037</v>
      </c>
      <c r="R31" s="55">
        <f t="shared" ref="R31:R48" ca="1" si="41">IFERROR(IF($T31="annual",OFFSET($S$14,MATCH(R$26,$B$15:$B$21,0),MATCH(_xlfn.CONCAT($C31,"/",$D31),$T$14:$X$14,0),1,1),IF($S31=0,OFFSET($Y$14,MATCH(R$26,$B$15:$B$21,0),0,1,1),R30*(1+Inflation_Rate+BLS_Esc_Rate))),"Data Missing")</f>
        <v>27.642179915077225</v>
      </c>
      <c r="S31" s="29">
        <f t="shared" si="27"/>
        <v>1</v>
      </c>
      <c r="T31" s="29" t="str">
        <f t="shared" si="26"/>
        <v>average</v>
      </c>
      <c r="U31" s="63"/>
      <c r="X31" s="63"/>
    </row>
    <row r="32" spans="2:42" x14ac:dyDescent="0.2">
      <c r="B32" s="29">
        <f t="shared" si="24"/>
        <v>23</v>
      </c>
      <c r="C32" s="29">
        <f t="shared" si="24"/>
        <v>2031</v>
      </c>
      <c r="D32" s="29">
        <f t="shared" si="24"/>
        <v>2032</v>
      </c>
      <c r="E32" s="55">
        <f t="shared" ca="1" si="28"/>
        <v>28.214799660168399</v>
      </c>
      <c r="F32" s="55">
        <f t="shared" ca="1" si="29"/>
        <v>31.452524585364241</v>
      </c>
      <c r="G32" s="55">
        <f t="shared" ca="1" si="30"/>
        <v>31.750861206591896</v>
      </c>
      <c r="H32" s="55">
        <f t="shared" ca="1" si="31"/>
        <v>31.452524585364241</v>
      </c>
      <c r="I32" s="55">
        <f t="shared" ca="1" si="32"/>
        <v>28.214799660168399</v>
      </c>
      <c r="J32" s="55">
        <f t="shared" ca="1" si="33"/>
        <v>31.452524585364241</v>
      </c>
      <c r="K32" s="55">
        <f t="shared" ca="1" si="34"/>
        <v>28.214799660168399</v>
      </c>
      <c r="L32" s="55">
        <f t="shared" ca="1" si="35"/>
        <v>28.214799660168399</v>
      </c>
      <c r="M32" s="55">
        <f t="shared" ca="1" si="36"/>
        <v>31.452524585364241</v>
      </c>
      <c r="N32" s="55">
        <f t="shared" ca="1" si="37"/>
        <v>31.750861206591896</v>
      </c>
      <c r="O32" s="55">
        <f t="shared" ca="1" si="38"/>
        <v>31.452524585364241</v>
      </c>
      <c r="P32" s="55">
        <f t="shared" ca="1" si="39"/>
        <v>28.214799660168399</v>
      </c>
      <c r="Q32" s="55">
        <f t="shared" ca="1" si="40"/>
        <v>31.452524585364241</v>
      </c>
      <c r="R32" s="55">
        <f t="shared" ca="1" si="41"/>
        <v>28.214799660168399</v>
      </c>
      <c r="S32" s="29">
        <f t="shared" si="27"/>
        <v>1</v>
      </c>
      <c r="T32" s="29" t="str">
        <f>IF(ISNUMBER(MATCH(_xlfn.CONCAT($C32,"/",$D32),$N$14:$R$14,0)),"annual","average")</f>
        <v>average</v>
      </c>
      <c r="U32" s="63"/>
    </row>
    <row r="33" spans="2:23" x14ac:dyDescent="0.2">
      <c r="B33" s="29">
        <f t="shared" si="24"/>
        <v>24</v>
      </c>
      <c r="C33" s="29">
        <f t="shared" si="24"/>
        <v>2032</v>
      </c>
      <c r="D33" s="29">
        <f t="shared" si="24"/>
        <v>2033</v>
      </c>
      <c r="E33" s="55">
        <f t="shared" ca="1" si="28"/>
        <v>28.799281471618873</v>
      </c>
      <c r="F33" s="55">
        <f t="shared" ca="1" si="29"/>
        <v>32.104077272810628</v>
      </c>
      <c r="G33" s="55">
        <f t="shared" ca="1" si="30"/>
        <v>32.408594066532771</v>
      </c>
      <c r="H33" s="55">
        <f t="shared" ca="1" si="31"/>
        <v>32.104077272810628</v>
      </c>
      <c r="I33" s="55">
        <f t="shared" ca="1" si="32"/>
        <v>28.799281471618873</v>
      </c>
      <c r="J33" s="55">
        <f t="shared" ca="1" si="33"/>
        <v>32.104077272810628</v>
      </c>
      <c r="K33" s="55">
        <f t="shared" ca="1" si="34"/>
        <v>28.799281471618873</v>
      </c>
      <c r="L33" s="55">
        <f t="shared" ca="1" si="35"/>
        <v>28.799281471618873</v>
      </c>
      <c r="M33" s="55">
        <f t="shared" ca="1" si="36"/>
        <v>32.104077272810628</v>
      </c>
      <c r="N33" s="55">
        <f t="shared" ca="1" si="37"/>
        <v>32.408594066532771</v>
      </c>
      <c r="O33" s="55">
        <f t="shared" ca="1" si="38"/>
        <v>32.104077272810628</v>
      </c>
      <c r="P33" s="55">
        <f t="shared" ca="1" si="39"/>
        <v>28.799281471618873</v>
      </c>
      <c r="Q33" s="55">
        <f t="shared" ca="1" si="40"/>
        <v>32.104077272810628</v>
      </c>
      <c r="R33" s="55">
        <f t="shared" ca="1" si="41"/>
        <v>28.799281471618873</v>
      </c>
      <c r="S33" s="29">
        <f t="shared" si="27"/>
        <v>1</v>
      </c>
      <c r="T33" s="29" t="str">
        <f t="shared" si="26"/>
        <v>average</v>
      </c>
      <c r="U33" s="63"/>
    </row>
    <row r="34" spans="2:23" x14ac:dyDescent="0.2">
      <c r="B34" s="29">
        <f t="shared" si="24"/>
        <v>25</v>
      </c>
      <c r="C34" s="29">
        <f t="shared" si="24"/>
        <v>2033</v>
      </c>
      <c r="D34" s="29">
        <f t="shared" si="24"/>
        <v>2034</v>
      </c>
      <c r="E34" s="55">
        <f t="shared" ca="1" si="28"/>
        <v>29.395871077277739</v>
      </c>
      <c r="F34" s="55">
        <f t="shared" ca="1" si="29"/>
        <v>32.769127156749668</v>
      </c>
      <c r="G34" s="55">
        <f t="shared" ca="1" si="30"/>
        <v>33.079952147919798</v>
      </c>
      <c r="H34" s="55">
        <f t="shared" ca="1" si="31"/>
        <v>32.769127156749668</v>
      </c>
      <c r="I34" s="55">
        <f t="shared" ca="1" si="32"/>
        <v>29.395871077277739</v>
      </c>
      <c r="J34" s="55">
        <f t="shared" ca="1" si="33"/>
        <v>32.769127156749668</v>
      </c>
      <c r="K34" s="55">
        <f t="shared" ca="1" si="34"/>
        <v>29.395871077277739</v>
      </c>
      <c r="L34" s="55">
        <f t="shared" ca="1" si="35"/>
        <v>29.395871077277739</v>
      </c>
      <c r="M34" s="55">
        <f t="shared" ca="1" si="36"/>
        <v>32.769127156749668</v>
      </c>
      <c r="N34" s="55">
        <f t="shared" ca="1" si="37"/>
        <v>33.079952147919798</v>
      </c>
      <c r="O34" s="55">
        <f t="shared" ca="1" si="38"/>
        <v>32.769127156749668</v>
      </c>
      <c r="P34" s="55">
        <f t="shared" ca="1" si="39"/>
        <v>29.395871077277739</v>
      </c>
      <c r="Q34" s="55">
        <f t="shared" ca="1" si="40"/>
        <v>32.769127156749668</v>
      </c>
      <c r="R34" s="55">
        <f t="shared" ca="1" si="41"/>
        <v>29.395871077277739</v>
      </c>
      <c r="S34" s="29">
        <f t="shared" si="27"/>
        <v>1</v>
      </c>
      <c r="T34" s="29" t="str">
        <f t="shared" si="26"/>
        <v>average</v>
      </c>
      <c r="U34" s="63"/>
    </row>
    <row r="35" spans="2:23" x14ac:dyDescent="0.2">
      <c r="B35" s="29">
        <f t="shared" si="24"/>
        <v>26</v>
      </c>
      <c r="C35" s="29">
        <f t="shared" si="24"/>
        <v>2034</v>
      </c>
      <c r="D35" s="29">
        <f t="shared" si="24"/>
        <v>2035</v>
      </c>
      <c r="E35" s="55">
        <f t="shared" ca="1" si="28"/>
        <v>30.004819295353062</v>
      </c>
      <c r="F35" s="55">
        <f t="shared" ca="1" si="29"/>
        <v>33.447953837460311</v>
      </c>
      <c r="G35" s="55">
        <f t="shared" ca="1" si="30"/>
        <v>33.765217703124371</v>
      </c>
      <c r="H35" s="55">
        <f t="shared" ca="1" si="31"/>
        <v>33.447953837460311</v>
      </c>
      <c r="I35" s="55">
        <f t="shared" ca="1" si="32"/>
        <v>30.004819295353062</v>
      </c>
      <c r="J35" s="55">
        <f t="shared" ca="1" si="33"/>
        <v>33.447953837460311</v>
      </c>
      <c r="K35" s="55">
        <f t="shared" ca="1" si="34"/>
        <v>30.004819295353062</v>
      </c>
      <c r="L35" s="55">
        <f t="shared" ca="1" si="35"/>
        <v>30.004819295353062</v>
      </c>
      <c r="M35" s="55">
        <f t="shared" ca="1" si="36"/>
        <v>33.447953837460311</v>
      </c>
      <c r="N35" s="55">
        <f t="shared" ca="1" si="37"/>
        <v>33.765217703124371</v>
      </c>
      <c r="O35" s="55">
        <f t="shared" ca="1" si="38"/>
        <v>33.447953837460311</v>
      </c>
      <c r="P35" s="55">
        <f t="shared" ca="1" si="39"/>
        <v>30.004819295353062</v>
      </c>
      <c r="Q35" s="55">
        <f t="shared" ca="1" si="40"/>
        <v>33.447953837460311</v>
      </c>
      <c r="R35" s="55">
        <f t="shared" ca="1" si="41"/>
        <v>30.004819295353062</v>
      </c>
      <c r="S35" s="29">
        <f t="shared" si="27"/>
        <v>1</v>
      </c>
      <c r="T35" s="29" t="str">
        <f t="shared" si="26"/>
        <v>average</v>
      </c>
      <c r="U35" s="63"/>
    </row>
    <row r="36" spans="2:23" x14ac:dyDescent="0.2">
      <c r="B36" s="29">
        <f t="shared" si="24"/>
        <v>27</v>
      </c>
      <c r="C36" s="29">
        <f t="shared" si="24"/>
        <v>2035</v>
      </c>
      <c r="D36" s="29">
        <f t="shared" si="24"/>
        <v>2036</v>
      </c>
      <c r="E36" s="55">
        <f t="shared" ca="1" si="28"/>
        <v>30.626382139860866</v>
      </c>
      <c r="F36" s="55">
        <f t="shared" ca="1" si="29"/>
        <v>34.140842707262543</v>
      </c>
      <c r="G36" s="55">
        <f t="shared" ca="1" si="30"/>
        <v>34.464678831498155</v>
      </c>
      <c r="H36" s="55">
        <f t="shared" ca="1" si="31"/>
        <v>34.140842707262543</v>
      </c>
      <c r="I36" s="55">
        <f t="shared" ca="1" si="32"/>
        <v>30.626382139860866</v>
      </c>
      <c r="J36" s="55">
        <f t="shared" ca="1" si="33"/>
        <v>34.140842707262543</v>
      </c>
      <c r="K36" s="55">
        <f t="shared" ca="1" si="34"/>
        <v>30.626382139860866</v>
      </c>
      <c r="L36" s="55">
        <f t="shared" ca="1" si="35"/>
        <v>30.626382139860866</v>
      </c>
      <c r="M36" s="55">
        <f t="shared" ca="1" si="36"/>
        <v>34.140842707262543</v>
      </c>
      <c r="N36" s="55">
        <f t="shared" ca="1" si="37"/>
        <v>34.464678831498155</v>
      </c>
      <c r="O36" s="55">
        <f t="shared" ca="1" si="38"/>
        <v>34.140842707262543</v>
      </c>
      <c r="P36" s="55">
        <f t="shared" ca="1" si="39"/>
        <v>30.626382139860866</v>
      </c>
      <c r="Q36" s="55">
        <f t="shared" ca="1" si="40"/>
        <v>34.140842707262543</v>
      </c>
      <c r="R36" s="55">
        <f t="shared" ca="1" si="41"/>
        <v>30.626382139860866</v>
      </c>
      <c r="S36" s="29">
        <f t="shared" si="27"/>
        <v>1</v>
      </c>
      <c r="T36" s="29" t="str">
        <f t="shared" si="26"/>
        <v>average</v>
      </c>
      <c r="U36" s="63"/>
    </row>
    <row r="37" spans="2:23" x14ac:dyDescent="0.2">
      <c r="B37" s="29">
        <f t="shared" si="24"/>
        <v>28</v>
      </c>
      <c r="C37" s="29">
        <f t="shared" si="24"/>
        <v>2036</v>
      </c>
      <c r="D37" s="29">
        <f t="shared" si="24"/>
        <v>2037</v>
      </c>
      <c r="E37" s="56">
        <f t="shared" ca="1" si="28"/>
        <v>31.260820928258536</v>
      </c>
      <c r="F37" s="56">
        <f t="shared" ca="1" si="29"/>
        <v>34.848085070502037</v>
      </c>
      <c r="G37" s="56">
        <f t="shared" ca="1" si="30"/>
        <v>35.178629600495839</v>
      </c>
      <c r="H37" s="56">
        <f t="shared" ca="1" si="31"/>
        <v>34.848085070502037</v>
      </c>
      <c r="I37" s="56">
        <f t="shared" ca="1" si="32"/>
        <v>31.260820928258536</v>
      </c>
      <c r="J37" s="56">
        <f t="shared" ca="1" si="33"/>
        <v>34.848085070502037</v>
      </c>
      <c r="K37" s="56">
        <f t="shared" ca="1" si="34"/>
        <v>31.260820928258536</v>
      </c>
      <c r="L37" s="56">
        <f t="shared" ca="1" si="35"/>
        <v>31.260820928258536</v>
      </c>
      <c r="M37" s="56">
        <f t="shared" ca="1" si="36"/>
        <v>34.848085070502037</v>
      </c>
      <c r="N37" s="56">
        <f t="shared" ca="1" si="37"/>
        <v>35.178629600495839</v>
      </c>
      <c r="O37" s="56">
        <f t="shared" ca="1" si="38"/>
        <v>34.848085070502037</v>
      </c>
      <c r="P37" s="56">
        <f t="shared" ca="1" si="39"/>
        <v>31.260820928258536</v>
      </c>
      <c r="Q37" s="56">
        <f t="shared" ca="1" si="40"/>
        <v>34.848085070502037</v>
      </c>
      <c r="R37" s="56">
        <f t="shared" ca="1" si="41"/>
        <v>31.260820928258536</v>
      </c>
      <c r="S37" s="29">
        <f t="shared" si="27"/>
        <v>1</v>
      </c>
      <c r="T37" s="29" t="str">
        <f t="shared" si="26"/>
        <v>average</v>
      </c>
      <c r="U37" s="63"/>
      <c r="V37" s="86"/>
      <c r="W37" s="86"/>
    </row>
    <row r="38" spans="2:23" x14ac:dyDescent="0.2">
      <c r="B38" s="29">
        <f t="shared" si="24"/>
        <v>29</v>
      </c>
      <c r="C38" s="29">
        <f t="shared" si="24"/>
        <v>2037</v>
      </c>
      <c r="D38" s="29">
        <f t="shared" si="24"/>
        <v>2038</v>
      </c>
      <c r="E38" s="56">
        <f t="shared" ca="1" si="28"/>
        <v>31.908402391307927</v>
      </c>
      <c r="F38" s="56">
        <f t="shared" ca="1" si="29"/>
        <v>35.569978266020321</v>
      </c>
      <c r="G38" s="56">
        <f t="shared" ca="1" si="30"/>
        <v>35.907370169306958</v>
      </c>
      <c r="H38" s="56">
        <f t="shared" ca="1" si="31"/>
        <v>35.569978266020321</v>
      </c>
      <c r="I38" s="56">
        <f t="shared" ca="1" si="32"/>
        <v>31.908402391307927</v>
      </c>
      <c r="J38" s="56">
        <f t="shared" ca="1" si="33"/>
        <v>35.569978266020321</v>
      </c>
      <c r="K38" s="56">
        <f t="shared" ca="1" si="34"/>
        <v>31.908402391307927</v>
      </c>
      <c r="L38" s="56">
        <f t="shared" ca="1" si="35"/>
        <v>31.908402391307927</v>
      </c>
      <c r="M38" s="56">
        <f t="shared" ca="1" si="36"/>
        <v>35.569978266020321</v>
      </c>
      <c r="N38" s="56">
        <f t="shared" ca="1" si="37"/>
        <v>35.907370169306958</v>
      </c>
      <c r="O38" s="56">
        <f t="shared" ca="1" si="38"/>
        <v>35.569978266020321</v>
      </c>
      <c r="P38" s="56">
        <f t="shared" ca="1" si="39"/>
        <v>31.908402391307927</v>
      </c>
      <c r="Q38" s="56">
        <f t="shared" ca="1" si="40"/>
        <v>35.569978266020321</v>
      </c>
      <c r="R38" s="56">
        <f t="shared" ca="1" si="41"/>
        <v>31.908402391307927</v>
      </c>
      <c r="S38" s="29">
        <f t="shared" si="27"/>
        <v>1</v>
      </c>
      <c r="T38" s="29" t="str">
        <f t="shared" si="26"/>
        <v>average</v>
      </c>
      <c r="U38" s="63"/>
      <c r="V38" s="86"/>
      <c r="W38" s="86"/>
    </row>
    <row r="39" spans="2:23" x14ac:dyDescent="0.2">
      <c r="B39" s="29">
        <f t="shared" si="24"/>
        <v>30</v>
      </c>
      <c r="C39" s="29">
        <f t="shared" si="24"/>
        <v>2038</v>
      </c>
      <c r="D39" s="29">
        <f t="shared" si="24"/>
        <v>2039</v>
      </c>
      <c r="E39" s="56">
        <f t="shared" ca="1" si="28"/>
        <v>32.569398785214304</v>
      </c>
      <c r="F39" s="56">
        <f t="shared" ca="1" si="29"/>
        <v>36.306825792161973</v>
      </c>
      <c r="G39" s="56">
        <f t="shared" ca="1" si="30"/>
        <v>36.651206915048853</v>
      </c>
      <c r="H39" s="56">
        <f t="shared" ca="1" si="31"/>
        <v>36.306825792161973</v>
      </c>
      <c r="I39" s="56">
        <f t="shared" ca="1" si="32"/>
        <v>32.569398785214304</v>
      </c>
      <c r="J39" s="56">
        <f t="shared" ca="1" si="33"/>
        <v>36.306825792161973</v>
      </c>
      <c r="K39" s="56">
        <f t="shared" ca="1" si="34"/>
        <v>32.569398785214304</v>
      </c>
      <c r="L39" s="56">
        <f t="shared" ca="1" si="35"/>
        <v>32.569398785214304</v>
      </c>
      <c r="M39" s="56">
        <f t="shared" ca="1" si="36"/>
        <v>36.306825792161973</v>
      </c>
      <c r="N39" s="56">
        <f t="shared" ca="1" si="37"/>
        <v>36.651206915048853</v>
      </c>
      <c r="O39" s="56">
        <f t="shared" ca="1" si="38"/>
        <v>36.306825792161973</v>
      </c>
      <c r="P39" s="56">
        <f t="shared" ca="1" si="39"/>
        <v>32.569398785214304</v>
      </c>
      <c r="Q39" s="56">
        <f t="shared" ca="1" si="40"/>
        <v>36.306825792161973</v>
      </c>
      <c r="R39" s="56">
        <f t="shared" ca="1" si="41"/>
        <v>32.569398785214304</v>
      </c>
      <c r="S39" s="29">
        <f t="shared" si="27"/>
        <v>1</v>
      </c>
      <c r="T39" s="29" t="str">
        <f t="shared" si="26"/>
        <v>average</v>
      </c>
      <c r="V39" s="86"/>
      <c r="W39" s="86"/>
    </row>
    <row r="40" spans="2:23" x14ac:dyDescent="0.2">
      <c r="B40" s="29">
        <f t="shared" si="24"/>
        <v>31</v>
      </c>
      <c r="C40" s="29">
        <f t="shared" si="24"/>
        <v>2039</v>
      </c>
      <c r="D40" s="29">
        <f t="shared" si="24"/>
        <v>2040</v>
      </c>
      <c r="E40" s="56">
        <f t="shared" ca="1" si="28"/>
        <v>33.244088006088298</v>
      </c>
      <c r="F40" s="56">
        <f t="shared" ca="1" si="29"/>
        <v>37.058937434371408</v>
      </c>
      <c r="G40" s="56">
        <f t="shared" ca="1" si="30"/>
        <v>37.410452561573706</v>
      </c>
      <c r="H40" s="56">
        <f t="shared" ca="1" si="31"/>
        <v>37.058937434371408</v>
      </c>
      <c r="I40" s="56">
        <f t="shared" ca="1" si="32"/>
        <v>33.244088006088298</v>
      </c>
      <c r="J40" s="56">
        <f t="shared" ca="1" si="33"/>
        <v>37.058937434371408</v>
      </c>
      <c r="K40" s="56">
        <f t="shared" ca="1" si="34"/>
        <v>33.244088006088298</v>
      </c>
      <c r="L40" s="56">
        <f t="shared" ca="1" si="35"/>
        <v>33.244088006088298</v>
      </c>
      <c r="M40" s="56">
        <f t="shared" ca="1" si="36"/>
        <v>37.058937434371408</v>
      </c>
      <c r="N40" s="56">
        <f t="shared" ca="1" si="37"/>
        <v>37.410452561573706</v>
      </c>
      <c r="O40" s="56">
        <f t="shared" ca="1" si="38"/>
        <v>37.058937434371408</v>
      </c>
      <c r="P40" s="56">
        <f t="shared" ca="1" si="39"/>
        <v>33.244088006088298</v>
      </c>
      <c r="Q40" s="56">
        <f t="shared" ca="1" si="40"/>
        <v>37.058937434371408</v>
      </c>
      <c r="R40" s="56">
        <f t="shared" ca="1" si="41"/>
        <v>33.244088006088298</v>
      </c>
      <c r="S40" s="29">
        <f t="shared" si="27"/>
        <v>1</v>
      </c>
      <c r="T40" s="29" t="str">
        <f t="shared" si="26"/>
        <v>average</v>
      </c>
    </row>
    <row r="41" spans="2:23" x14ac:dyDescent="0.2">
      <c r="B41" s="29">
        <f t="shared" si="24"/>
        <v>32</v>
      </c>
      <c r="C41" s="29">
        <f t="shared" si="24"/>
        <v>2040</v>
      </c>
      <c r="D41" s="29">
        <f t="shared" si="24"/>
        <v>2041</v>
      </c>
      <c r="E41" s="56">
        <f t="shared" ca="1" si="28"/>
        <v>33.932753706778989</v>
      </c>
      <c r="F41" s="56">
        <f t="shared" ca="1" si="29"/>
        <v>37.826629395432875</v>
      </c>
      <c r="G41" s="56">
        <f t="shared" ca="1" si="30"/>
        <v>38.185426310943932</v>
      </c>
      <c r="H41" s="56">
        <f t="shared" ca="1" si="31"/>
        <v>37.826629395432875</v>
      </c>
      <c r="I41" s="56">
        <f t="shared" ca="1" si="32"/>
        <v>33.932753706778989</v>
      </c>
      <c r="J41" s="56">
        <f t="shared" ca="1" si="33"/>
        <v>37.826629395432875</v>
      </c>
      <c r="K41" s="56">
        <f t="shared" ca="1" si="34"/>
        <v>33.932753706778989</v>
      </c>
      <c r="L41" s="56">
        <f t="shared" ca="1" si="35"/>
        <v>33.932753706778989</v>
      </c>
      <c r="M41" s="56">
        <f t="shared" ca="1" si="36"/>
        <v>37.826629395432875</v>
      </c>
      <c r="N41" s="56">
        <f t="shared" ca="1" si="37"/>
        <v>38.185426310943932</v>
      </c>
      <c r="O41" s="56">
        <f t="shared" ca="1" si="38"/>
        <v>37.826629395432875</v>
      </c>
      <c r="P41" s="56">
        <f t="shared" ca="1" si="39"/>
        <v>33.932753706778989</v>
      </c>
      <c r="Q41" s="56">
        <f t="shared" ca="1" si="40"/>
        <v>37.826629395432875</v>
      </c>
      <c r="R41" s="56">
        <f t="shared" ca="1" si="41"/>
        <v>33.932753706778989</v>
      </c>
      <c r="S41" s="29">
        <f t="shared" si="27"/>
        <v>1</v>
      </c>
      <c r="T41" s="29" t="str">
        <f t="shared" si="26"/>
        <v>average</v>
      </c>
    </row>
    <row r="42" spans="2:23" x14ac:dyDescent="0.2">
      <c r="B42" s="29">
        <f t="shared" si="24"/>
        <v>33</v>
      </c>
      <c r="C42" s="29">
        <f t="shared" si="24"/>
        <v>2041</v>
      </c>
      <c r="D42" s="29">
        <f t="shared" si="24"/>
        <v>2042</v>
      </c>
      <c r="E42" s="56">
        <f t="shared" ca="1" si="28"/>
        <v>34.635685416127252</v>
      </c>
      <c r="F42" s="56">
        <f t="shared" ca="1" si="29"/>
        <v>38.610224428408429</v>
      </c>
      <c r="G42" s="56">
        <f t="shared" ca="1" si="30"/>
        <v>38.976453977631103</v>
      </c>
      <c r="H42" s="56">
        <f t="shared" ca="1" si="31"/>
        <v>38.610224428408429</v>
      </c>
      <c r="I42" s="56">
        <f t="shared" ca="1" si="32"/>
        <v>34.635685416127252</v>
      </c>
      <c r="J42" s="56">
        <f t="shared" ca="1" si="33"/>
        <v>38.610224428408429</v>
      </c>
      <c r="K42" s="56">
        <f t="shared" ca="1" si="34"/>
        <v>34.635685416127252</v>
      </c>
      <c r="L42" s="56">
        <f t="shared" ca="1" si="35"/>
        <v>34.635685416127252</v>
      </c>
      <c r="M42" s="56">
        <f t="shared" ca="1" si="36"/>
        <v>38.610224428408429</v>
      </c>
      <c r="N42" s="56">
        <f t="shared" ca="1" si="37"/>
        <v>38.976453977631103</v>
      </c>
      <c r="O42" s="56">
        <f t="shared" ca="1" si="38"/>
        <v>38.610224428408429</v>
      </c>
      <c r="P42" s="56">
        <f t="shared" ca="1" si="39"/>
        <v>34.635685416127252</v>
      </c>
      <c r="Q42" s="56">
        <f t="shared" ca="1" si="40"/>
        <v>38.610224428408429</v>
      </c>
      <c r="R42" s="56">
        <f t="shared" ca="1" si="41"/>
        <v>34.635685416127252</v>
      </c>
      <c r="S42" s="29">
        <f t="shared" si="27"/>
        <v>1</v>
      </c>
      <c r="T42" s="29" t="str">
        <f t="shared" si="26"/>
        <v>average</v>
      </c>
    </row>
    <row r="43" spans="2:23" x14ac:dyDescent="0.2">
      <c r="B43" s="29">
        <f t="shared" si="24"/>
        <v>34</v>
      </c>
      <c r="C43" s="29">
        <f t="shared" si="24"/>
        <v>2042</v>
      </c>
      <c r="D43" s="29">
        <f t="shared" si="24"/>
        <v>2043</v>
      </c>
      <c r="E43" s="56">
        <f t="shared" ca="1" si="28"/>
        <v>35.353178660689451</v>
      </c>
      <c r="F43" s="56">
        <f t="shared" ca="1" si="29"/>
        <v>39.410051972329775</v>
      </c>
      <c r="G43" s="56">
        <f t="shared" ca="1" si="30"/>
        <v>39.78386812549487</v>
      </c>
      <c r="H43" s="56">
        <f t="shared" ca="1" si="31"/>
        <v>39.410051972329775</v>
      </c>
      <c r="I43" s="56">
        <f t="shared" ca="1" si="32"/>
        <v>35.353178660689451</v>
      </c>
      <c r="J43" s="56">
        <f t="shared" ca="1" si="33"/>
        <v>39.410051972329775</v>
      </c>
      <c r="K43" s="56">
        <f t="shared" ca="1" si="34"/>
        <v>35.353178660689451</v>
      </c>
      <c r="L43" s="56">
        <f t="shared" ca="1" si="35"/>
        <v>35.353178660689451</v>
      </c>
      <c r="M43" s="56">
        <f t="shared" ca="1" si="36"/>
        <v>39.410051972329775</v>
      </c>
      <c r="N43" s="56">
        <f t="shared" ca="1" si="37"/>
        <v>39.78386812549487</v>
      </c>
      <c r="O43" s="56">
        <f t="shared" ca="1" si="38"/>
        <v>39.410051972329775</v>
      </c>
      <c r="P43" s="56">
        <f t="shared" ca="1" si="39"/>
        <v>35.353178660689451</v>
      </c>
      <c r="Q43" s="56">
        <f t="shared" ca="1" si="40"/>
        <v>39.410051972329775</v>
      </c>
      <c r="R43" s="56">
        <f t="shared" ca="1" si="41"/>
        <v>35.353178660689451</v>
      </c>
      <c r="S43" s="29">
        <f t="shared" si="27"/>
        <v>1</v>
      </c>
      <c r="T43" s="29" t="str">
        <f t="shared" si="26"/>
        <v>average</v>
      </c>
    </row>
    <row r="44" spans="2:23" x14ac:dyDescent="0.2">
      <c r="B44" s="29">
        <f t="shared" si="24"/>
        <v>35</v>
      </c>
      <c r="C44" s="29">
        <f t="shared" si="24"/>
        <v>2043</v>
      </c>
      <c r="D44" s="29">
        <f t="shared" si="24"/>
        <v>2044</v>
      </c>
      <c r="E44" s="56">
        <f t="shared" ca="1" si="28"/>
        <v>36.085535088982752</v>
      </c>
      <c r="F44" s="56">
        <f t="shared" ca="1" si="29"/>
        <v>40.22644829070105</v>
      </c>
      <c r="G44" s="56">
        <f t="shared" ca="1" si="30"/>
        <v>40.608008207599468</v>
      </c>
      <c r="H44" s="56">
        <f t="shared" ca="1" si="31"/>
        <v>40.22644829070105</v>
      </c>
      <c r="I44" s="56">
        <f t="shared" ca="1" si="32"/>
        <v>36.085535088982752</v>
      </c>
      <c r="J44" s="56">
        <f t="shared" ca="1" si="33"/>
        <v>40.22644829070105</v>
      </c>
      <c r="K44" s="56">
        <f t="shared" ca="1" si="34"/>
        <v>36.085535088982752</v>
      </c>
      <c r="L44" s="56">
        <f t="shared" ca="1" si="35"/>
        <v>36.085535088982752</v>
      </c>
      <c r="M44" s="56">
        <f t="shared" ca="1" si="36"/>
        <v>40.22644829070105</v>
      </c>
      <c r="N44" s="56">
        <f t="shared" ca="1" si="37"/>
        <v>40.608008207599468</v>
      </c>
      <c r="O44" s="56">
        <f t="shared" ca="1" si="38"/>
        <v>40.22644829070105</v>
      </c>
      <c r="P44" s="56">
        <f t="shared" ca="1" si="39"/>
        <v>36.085535088982752</v>
      </c>
      <c r="Q44" s="56">
        <f t="shared" ca="1" si="40"/>
        <v>40.22644829070105</v>
      </c>
      <c r="R44" s="56">
        <f t="shared" ca="1" si="41"/>
        <v>36.085535088982752</v>
      </c>
      <c r="S44" s="29">
        <f t="shared" si="27"/>
        <v>1</v>
      </c>
      <c r="T44" s="29" t="str">
        <f t="shared" si="26"/>
        <v>average</v>
      </c>
    </row>
    <row r="45" spans="2:23" x14ac:dyDescent="0.2">
      <c r="B45" s="29">
        <f t="shared" si="24"/>
        <v>36</v>
      </c>
      <c r="C45" s="29">
        <f t="shared" si="24"/>
        <v>2044</v>
      </c>
      <c r="D45" s="29">
        <f t="shared" si="24"/>
        <v>2045</v>
      </c>
      <c r="E45" s="56">
        <f t="shared" ca="1" si="28"/>
        <v>36.83306259830416</v>
      </c>
      <c r="F45" s="56">
        <f t="shared" ca="1" si="29"/>
        <v>41.0597566128707</v>
      </c>
      <c r="G45" s="56">
        <f t="shared" ca="1" si="30"/>
        <v>41.449220708926575</v>
      </c>
      <c r="H45" s="56">
        <f t="shared" ca="1" si="31"/>
        <v>41.0597566128707</v>
      </c>
      <c r="I45" s="56">
        <f t="shared" ca="1" si="32"/>
        <v>36.83306259830416</v>
      </c>
      <c r="J45" s="56">
        <f t="shared" ca="1" si="33"/>
        <v>41.0597566128707</v>
      </c>
      <c r="K45" s="56">
        <f t="shared" ca="1" si="34"/>
        <v>36.83306259830416</v>
      </c>
      <c r="L45" s="56">
        <f t="shared" ca="1" si="35"/>
        <v>36.83306259830416</v>
      </c>
      <c r="M45" s="56">
        <f t="shared" ca="1" si="36"/>
        <v>41.0597566128707</v>
      </c>
      <c r="N45" s="56">
        <f t="shared" ca="1" si="37"/>
        <v>41.449220708926575</v>
      </c>
      <c r="O45" s="56">
        <f t="shared" ca="1" si="38"/>
        <v>41.0597566128707</v>
      </c>
      <c r="P45" s="56">
        <f t="shared" ca="1" si="39"/>
        <v>36.83306259830416</v>
      </c>
      <c r="Q45" s="56">
        <f t="shared" ca="1" si="40"/>
        <v>41.0597566128707</v>
      </c>
      <c r="R45" s="56">
        <f t="shared" ca="1" si="41"/>
        <v>36.83306259830416</v>
      </c>
      <c r="S45" s="29">
        <f t="shared" si="27"/>
        <v>1</v>
      </c>
      <c r="T45" s="29" t="str">
        <f t="shared" si="26"/>
        <v>average</v>
      </c>
    </row>
    <row r="46" spans="2:23" x14ac:dyDescent="0.2">
      <c r="B46" s="29">
        <f t="shared" si="24"/>
        <v>37</v>
      </c>
      <c r="C46" s="29">
        <f t="shared" si="24"/>
        <v>2045</v>
      </c>
      <c r="D46" s="29">
        <f t="shared" si="24"/>
        <v>2046</v>
      </c>
      <c r="E46" s="56">
        <f t="shared" ca="1" si="28"/>
        <v>37.596075464176728</v>
      </c>
      <c r="F46" s="56">
        <f t="shared" ca="1" si="29"/>
        <v>41.910327278331984</v>
      </c>
      <c r="G46" s="56">
        <f t="shared" ca="1" si="30"/>
        <v>42.307859292044526</v>
      </c>
      <c r="H46" s="56">
        <f t="shared" ca="1" si="31"/>
        <v>41.910327278331984</v>
      </c>
      <c r="I46" s="56">
        <f t="shared" ca="1" si="32"/>
        <v>37.596075464176728</v>
      </c>
      <c r="J46" s="56">
        <f t="shared" ca="1" si="33"/>
        <v>41.910327278331984</v>
      </c>
      <c r="K46" s="56">
        <f t="shared" ca="1" si="34"/>
        <v>37.596075464176728</v>
      </c>
      <c r="L46" s="56">
        <f t="shared" ca="1" si="35"/>
        <v>37.596075464176728</v>
      </c>
      <c r="M46" s="56">
        <f t="shared" ca="1" si="36"/>
        <v>41.910327278331984</v>
      </c>
      <c r="N46" s="56">
        <f t="shared" ca="1" si="37"/>
        <v>42.307859292044526</v>
      </c>
      <c r="O46" s="56">
        <f t="shared" ca="1" si="38"/>
        <v>41.910327278331984</v>
      </c>
      <c r="P46" s="56">
        <f t="shared" ca="1" si="39"/>
        <v>37.596075464176728</v>
      </c>
      <c r="Q46" s="56">
        <f t="shared" ca="1" si="40"/>
        <v>41.910327278331984</v>
      </c>
      <c r="R46" s="56">
        <f t="shared" ca="1" si="41"/>
        <v>37.596075464176728</v>
      </c>
      <c r="S46" s="29">
        <f t="shared" si="27"/>
        <v>1</v>
      </c>
      <c r="T46" s="29" t="str">
        <f t="shared" si="26"/>
        <v>average</v>
      </c>
    </row>
    <row r="47" spans="2:23" x14ac:dyDescent="0.2">
      <c r="B47" s="29">
        <f t="shared" si="24"/>
        <v>38</v>
      </c>
      <c r="C47" s="29">
        <f t="shared" si="24"/>
        <v>2046</v>
      </c>
      <c r="D47" s="29">
        <f t="shared" si="24"/>
        <v>2047</v>
      </c>
      <c r="E47" s="56">
        <f t="shared" ca="1" si="28"/>
        <v>38.374894472477266</v>
      </c>
      <c r="F47" s="56">
        <f t="shared" ca="1" si="29"/>
        <v>42.7785178840127</v>
      </c>
      <c r="G47" s="56">
        <f t="shared" ca="1" si="30"/>
        <v>43.184284945795149</v>
      </c>
      <c r="H47" s="56">
        <f t="shared" ca="1" si="31"/>
        <v>42.7785178840127</v>
      </c>
      <c r="I47" s="56">
        <f t="shared" ca="1" si="32"/>
        <v>38.374894472477266</v>
      </c>
      <c r="J47" s="56">
        <f t="shared" ca="1" si="33"/>
        <v>42.7785178840127</v>
      </c>
      <c r="K47" s="56">
        <f t="shared" ca="1" si="34"/>
        <v>38.374894472477266</v>
      </c>
      <c r="L47" s="56">
        <f t="shared" ca="1" si="35"/>
        <v>38.374894472477266</v>
      </c>
      <c r="M47" s="56">
        <f t="shared" ca="1" si="36"/>
        <v>42.7785178840127</v>
      </c>
      <c r="N47" s="56">
        <f t="shared" ca="1" si="37"/>
        <v>43.184284945795149</v>
      </c>
      <c r="O47" s="56">
        <f t="shared" ca="1" si="38"/>
        <v>42.7785178840127</v>
      </c>
      <c r="P47" s="56">
        <f t="shared" ca="1" si="39"/>
        <v>38.374894472477266</v>
      </c>
      <c r="Q47" s="56">
        <f t="shared" ca="1" si="40"/>
        <v>42.7785178840127</v>
      </c>
      <c r="R47" s="56">
        <f t="shared" ca="1" si="41"/>
        <v>38.374894472477266</v>
      </c>
      <c r="S47" s="29">
        <f t="shared" si="27"/>
        <v>1</v>
      </c>
      <c r="T47" s="29" t="str">
        <f t="shared" si="26"/>
        <v>average</v>
      </c>
    </row>
    <row r="48" spans="2:23" x14ac:dyDescent="0.2">
      <c r="B48" s="29">
        <f t="shared" si="24"/>
        <v>39</v>
      </c>
      <c r="C48" s="29">
        <f t="shared" si="24"/>
        <v>2047</v>
      </c>
      <c r="D48" s="29">
        <f t="shared" si="24"/>
        <v>2048</v>
      </c>
      <c r="E48" s="56">
        <f t="shared" ca="1" si="28"/>
        <v>39.169847054301137</v>
      </c>
      <c r="F48" s="56">
        <f t="shared" ca="1" si="29"/>
        <v>43.66469343461609</v>
      </c>
      <c r="G48" s="56">
        <f t="shared" ca="1" si="30"/>
        <v>44.078866137060679</v>
      </c>
      <c r="H48" s="56">
        <f t="shared" ca="1" si="31"/>
        <v>43.66469343461609</v>
      </c>
      <c r="I48" s="56">
        <f t="shared" ca="1" si="32"/>
        <v>39.169847054301137</v>
      </c>
      <c r="J48" s="56">
        <f t="shared" ca="1" si="33"/>
        <v>43.66469343461609</v>
      </c>
      <c r="K48" s="56">
        <f t="shared" ca="1" si="34"/>
        <v>39.169847054301137</v>
      </c>
      <c r="L48" s="56">
        <f t="shared" ca="1" si="35"/>
        <v>39.169847054301137</v>
      </c>
      <c r="M48" s="56">
        <f t="shared" ca="1" si="36"/>
        <v>43.66469343461609</v>
      </c>
      <c r="N48" s="56">
        <f t="shared" ca="1" si="37"/>
        <v>44.078866137060679</v>
      </c>
      <c r="O48" s="56">
        <f t="shared" ca="1" si="38"/>
        <v>43.66469343461609</v>
      </c>
      <c r="P48" s="56">
        <f t="shared" ca="1" si="39"/>
        <v>39.169847054301137</v>
      </c>
      <c r="Q48" s="56">
        <f t="shared" ca="1" si="40"/>
        <v>43.66469343461609</v>
      </c>
      <c r="R48" s="56">
        <f t="shared" ca="1" si="41"/>
        <v>39.169847054301137</v>
      </c>
      <c r="S48" s="29">
        <f t="shared" si="27"/>
        <v>1</v>
      </c>
      <c r="T48" s="29" t="str">
        <f t="shared" si="26"/>
        <v>average</v>
      </c>
    </row>
  </sheetData>
  <mergeCells count="17">
    <mergeCell ref="AH13:AL13"/>
    <mergeCell ref="U27:W29"/>
    <mergeCell ref="AA7:AB7"/>
    <mergeCell ref="B13:B14"/>
    <mergeCell ref="C13:C14"/>
    <mergeCell ref="S25:S26"/>
    <mergeCell ref="T25:T26"/>
    <mergeCell ref="AA12:AL12"/>
    <mergeCell ref="AA22:AL23"/>
    <mergeCell ref="B24:R24"/>
    <mergeCell ref="B25:B26"/>
    <mergeCell ref="C25:C26"/>
    <mergeCell ref="D25:D26"/>
    <mergeCell ref="E25:K25"/>
    <mergeCell ref="L25:R25"/>
    <mergeCell ref="AB13:AB14"/>
    <mergeCell ref="AC13:AG13"/>
  </mergeCells>
  <phoneticPr fontId="18" type="noConversion"/>
  <conditionalFormatting sqref="B4">
    <cfRule type="expression" dxfId="1" priority="1">
      <formula>$B$4="Complete"</formula>
    </cfRule>
  </conditionalFormatting>
  <dataValidations disablePrompts="1" count="1">
    <dataValidation type="list" allowBlank="1" showInputMessage="1" showErrorMessage="1" sqref="AB5" xr:uid="{A0BB5379-F9AC-4305-B16C-F7F4E12A7295}">
      <formula1>"1,2,3,4,5"</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9" tint="0.79998168889431442"/>
  </sheetPr>
  <dimension ref="A1:BI80"/>
  <sheetViews>
    <sheetView zoomScaleNormal="100" workbookViewId="0">
      <selection activeCell="G10" sqref="G10"/>
    </sheetView>
  </sheetViews>
  <sheetFormatPr defaultColWidth="9.140625" defaultRowHeight="12.75" x14ac:dyDescent="0.2"/>
  <cols>
    <col min="1" max="1" width="3.42578125" style="50" customWidth="1"/>
    <col min="2" max="11" width="12.85546875" style="2" customWidth="1"/>
    <col min="12" max="12" width="4.85546875" style="50" customWidth="1"/>
    <col min="13" max="19" width="12.85546875" style="2" customWidth="1"/>
    <col min="20" max="21" width="9.140625" style="50"/>
    <col min="22" max="22" width="22.85546875" style="2" customWidth="1"/>
    <col min="23" max="23" width="9.140625" style="2"/>
    <col min="24" max="24" width="20.42578125" style="50" customWidth="1"/>
    <col min="25" max="25" width="9.140625" style="50"/>
    <col min="26" max="26" width="21.42578125" style="2" bestFit="1" customWidth="1"/>
    <col min="27" max="31" width="9.140625" style="2"/>
    <col min="32" max="32" width="12.42578125" style="2" bestFit="1" customWidth="1"/>
    <col min="33" max="61" width="9.140625" style="50"/>
    <col min="62" max="16384" width="9.140625" style="2"/>
  </cols>
  <sheetData>
    <row r="1" spans="2:32" ht="31.5" customHeight="1" x14ac:dyDescent="0.2">
      <c r="B1" s="50"/>
      <c r="C1" s="50"/>
      <c r="D1" s="50"/>
      <c r="E1" s="50"/>
      <c r="F1" s="50"/>
      <c r="G1" s="50"/>
      <c r="H1" s="50"/>
      <c r="I1" s="50"/>
      <c r="J1" s="50"/>
      <c r="K1" s="50"/>
      <c r="M1" s="86"/>
      <c r="N1" s="50"/>
      <c r="O1" s="50"/>
      <c r="P1" s="50"/>
      <c r="Q1" s="50"/>
      <c r="R1" s="50"/>
      <c r="S1" s="50"/>
      <c r="V1" s="50"/>
      <c r="W1" s="50"/>
      <c r="Z1" s="50"/>
      <c r="AA1" s="50"/>
      <c r="AB1" s="50"/>
      <c r="AC1" s="50"/>
      <c r="AD1" s="50"/>
      <c r="AE1" s="50"/>
      <c r="AF1" s="50"/>
    </row>
    <row r="2" spans="2:32" x14ac:dyDescent="0.2">
      <c r="B2" s="360" t="s">
        <v>224</v>
      </c>
      <c r="C2" s="361"/>
      <c r="D2" s="361"/>
      <c r="E2" s="361"/>
      <c r="F2" s="361"/>
      <c r="G2" s="362"/>
      <c r="H2" s="362"/>
      <c r="I2" s="362"/>
      <c r="J2" s="362"/>
      <c r="K2" s="363"/>
      <c r="M2" s="364" t="s">
        <v>225</v>
      </c>
      <c r="N2" s="362"/>
      <c r="O2" s="362"/>
      <c r="P2" s="362"/>
      <c r="Q2" s="362"/>
      <c r="R2" s="362"/>
      <c r="S2" s="363"/>
      <c r="V2" s="50"/>
      <c r="W2" s="50"/>
      <c r="Z2" s="50"/>
      <c r="AA2" s="50"/>
      <c r="AB2" s="50"/>
      <c r="AC2" s="50"/>
      <c r="AD2" s="50"/>
      <c r="AE2" s="50"/>
      <c r="AF2" s="50"/>
    </row>
    <row r="3" spans="2:32" x14ac:dyDescent="0.2">
      <c r="B3" s="53" t="s">
        <v>67</v>
      </c>
      <c r="C3" s="53" t="s">
        <v>217</v>
      </c>
      <c r="D3" s="53" t="s">
        <v>218</v>
      </c>
      <c r="E3" s="53" t="s">
        <v>85</v>
      </c>
      <c r="F3" s="53" t="s">
        <v>88</v>
      </c>
      <c r="G3" s="53" t="s">
        <v>91</v>
      </c>
      <c r="H3" s="53" t="s">
        <v>93</v>
      </c>
      <c r="I3" s="53" t="s">
        <v>95</v>
      </c>
      <c r="J3" s="53" t="s">
        <v>97</v>
      </c>
      <c r="K3" s="53" t="s">
        <v>66</v>
      </c>
      <c r="M3" s="53" t="s">
        <v>85</v>
      </c>
      <c r="N3" s="53" t="s">
        <v>88</v>
      </c>
      <c r="O3" s="53" t="s">
        <v>91</v>
      </c>
      <c r="P3" s="53" t="s">
        <v>93</v>
      </c>
      <c r="Q3" s="53" t="s">
        <v>95</v>
      </c>
      <c r="R3" s="53" t="s">
        <v>97</v>
      </c>
      <c r="S3" s="53" t="s">
        <v>66</v>
      </c>
      <c r="V3" s="50"/>
      <c r="W3" s="50"/>
      <c r="Z3" s="50"/>
      <c r="AA3" s="50"/>
      <c r="AB3" s="50"/>
      <c r="AC3" s="50"/>
      <c r="AD3" s="50"/>
      <c r="AE3" s="50"/>
      <c r="AF3" s="50"/>
    </row>
    <row r="4" spans="2:32" x14ac:dyDescent="0.2">
      <c r="B4" s="29">
        <v>18</v>
      </c>
      <c r="C4" s="30">
        <v>2026</v>
      </c>
      <c r="D4" s="30">
        <v>2027</v>
      </c>
      <c r="E4" s="194">
        <f>_xlfn.XLOOKUP(E$3,$X$30:$X$36,$W$30:$W$36,0,0,1)</f>
        <v>61.066251069807805</v>
      </c>
      <c r="F4" s="194">
        <f t="shared" ref="F4:K4" si="0">_xlfn.XLOOKUP(F$3,$X$30:$X$36,$W$30:$W$36,0,0,1)</f>
        <v>58.918470545807565</v>
      </c>
      <c r="G4" s="194">
        <f t="shared" si="0"/>
        <v>22.476312969897599</v>
      </c>
      <c r="H4" s="194">
        <f t="shared" si="0"/>
        <v>44.188852909355674</v>
      </c>
      <c r="I4" s="194">
        <f t="shared" si="0"/>
        <v>77.095525782492501</v>
      </c>
      <c r="J4" s="194">
        <f t="shared" si="0"/>
        <v>47.995080057201598</v>
      </c>
      <c r="K4" s="194">
        <f t="shared" si="0"/>
        <v>8.8288765216760154</v>
      </c>
      <c r="M4" s="194">
        <f>INDEX($AA$30:$AE$36,MATCH(M$3,$AF$30:$AF$36,0),MATCH($C4,$AA$29:$AE$29,0))</f>
        <v>59.278992861509323</v>
      </c>
      <c r="N4" s="194">
        <f t="shared" ref="N4:S8" si="1">INDEX($AA$30:$AE$36,MATCH(N$3,$AF$30:$AF$36,0),MATCH($C4,$AA$29:$AE$29,0))</f>
        <v>52.461790069937706</v>
      </c>
      <c r="O4" s="194">
        <f t="shared" si="1"/>
        <v>39.611060321331024</v>
      </c>
      <c r="P4" s="194">
        <f t="shared" si="1"/>
        <v>37.179658055305481</v>
      </c>
      <c r="Q4" s="194">
        <f t="shared" si="1"/>
        <v>43.516912236809731</v>
      </c>
      <c r="R4" s="194">
        <f t="shared" si="1"/>
        <v>25.111235558986664</v>
      </c>
      <c r="S4" s="194">
        <f t="shared" si="1"/>
        <v>41.24516749382019</v>
      </c>
      <c r="V4" s="50"/>
      <c r="W4" s="50"/>
      <c r="Z4" s="50"/>
      <c r="AA4" s="50"/>
      <c r="AB4" s="50"/>
      <c r="AC4" s="50"/>
      <c r="AD4" s="50"/>
      <c r="AE4" s="50"/>
      <c r="AF4" s="50"/>
    </row>
    <row r="5" spans="2:32" x14ac:dyDescent="0.2">
      <c r="B5" s="29">
        <f>B4+1</f>
        <v>19</v>
      </c>
      <c r="C5" s="29">
        <f>C4+1</f>
        <v>2027</v>
      </c>
      <c r="D5" s="29">
        <f>D4+1</f>
        <v>2028</v>
      </c>
      <c r="E5" s="54">
        <f t="shared" ref="E5:E23" ca="1" si="2">IFERROR(E4*(1+Inflation_Rate+BLS_Esc_Rate),"Data Missing")</f>
        <v>62.331264944570776</v>
      </c>
      <c r="F5" s="54">
        <f t="shared" ref="F5:F23" ca="1" si="3">IFERROR(F4*(1+Inflation_Rate+BLS_Esc_Rate),"Data Missing")</f>
        <v>60.138992215543901</v>
      </c>
      <c r="G5" s="54">
        <f t="shared" ref="G5:G23" ca="1" si="4">IFERROR(G4*(1+Inflation_Rate+BLS_Esc_Rate),"Data Missing")</f>
        <v>22.94191954083205</v>
      </c>
      <c r="H5" s="54">
        <f t="shared" ref="H5:H23" ca="1" si="5">IFERROR(H4*(1+Inflation_Rate+BLS_Esc_Rate),"Data Missing")</f>
        <v>45.104244161657924</v>
      </c>
      <c r="I5" s="54">
        <f t="shared" ref="I5:I23" ca="1" si="6">IFERROR(I4*(1+Inflation_Rate+BLS_Esc_Rate),"Data Missing")</f>
        <v>78.692593034672626</v>
      </c>
      <c r="J5" s="54">
        <f t="shared" ref="J5:J23" ca="1" si="7">IFERROR(J4*(1+Inflation_Rate+BLS_Esc_Rate),"Data Missing")</f>
        <v>48.989318955595962</v>
      </c>
      <c r="K5" s="54">
        <f t="shared" ref="K5:K23" ca="1" si="8">IFERROR(K4*(1+Inflation_Rate+BLS_Esc_Rate),"Data Missing")</f>
        <v>9.0117705278222537</v>
      </c>
      <c r="L5" s="173"/>
      <c r="M5" s="194">
        <f t="shared" ref="M5:M8" si="9">INDEX($AA$30:$AE$36,MATCH(M$3,$AF$30:$AF$36,0),MATCH($C5,$AA$29:$AE$29,0))</f>
        <v>64.428142130374908</v>
      </c>
      <c r="N5" s="194">
        <f t="shared" si="1"/>
        <v>55.816346317529678</v>
      </c>
      <c r="O5" s="194">
        <f t="shared" si="1"/>
        <v>47.206502795219421</v>
      </c>
      <c r="P5" s="194">
        <f t="shared" si="1"/>
        <v>42.6428142786026</v>
      </c>
      <c r="Q5" s="194">
        <f t="shared" si="1"/>
        <v>45.517780646681786</v>
      </c>
      <c r="R5" s="194">
        <f t="shared" si="1"/>
        <v>26.679436318576336</v>
      </c>
      <c r="S5" s="194">
        <f t="shared" si="1"/>
        <v>46.265887528657913</v>
      </c>
      <c r="V5" s="50"/>
      <c r="W5" s="50"/>
      <c r="Z5" s="50"/>
      <c r="AA5" s="50"/>
      <c r="AB5" s="50"/>
      <c r="AC5" s="50"/>
      <c r="AD5" s="50"/>
      <c r="AE5" s="50"/>
      <c r="AF5" s="50"/>
    </row>
    <row r="6" spans="2:32" x14ac:dyDescent="0.2">
      <c r="B6" s="29">
        <f t="shared" ref="B6:B23" si="10">B5+1</f>
        <v>20</v>
      </c>
      <c r="C6" s="29">
        <f t="shared" ref="C6:C22" si="11">C5+1</f>
        <v>2028</v>
      </c>
      <c r="D6" s="29">
        <f t="shared" ref="D6:D23" si="12">D5+1</f>
        <v>2029</v>
      </c>
      <c r="E6" s="54">
        <f t="shared" ca="1" si="2"/>
        <v>63.622484130373941</v>
      </c>
      <c r="F6" s="54">
        <f t="shared" ca="1" si="3"/>
        <v>61.384797520997452</v>
      </c>
      <c r="G6" s="54">
        <f t="shared" ca="1" si="4"/>
        <v>23.417171353812545</v>
      </c>
      <c r="H6" s="54">
        <f t="shared" ca="1" si="5"/>
        <v>46.038598140748086</v>
      </c>
      <c r="I6" s="54">
        <f t="shared" ca="1" si="6"/>
        <v>80.322744227614521</v>
      </c>
      <c r="J6" s="54">
        <f t="shared" ca="1" si="7"/>
        <v>50.004153943962514</v>
      </c>
      <c r="K6" s="54">
        <f t="shared" ca="1" si="8"/>
        <v>9.1984532626252022</v>
      </c>
      <c r="L6" s="173"/>
      <c r="M6" s="194">
        <f t="shared" si="9"/>
        <v>69.92870157957077</v>
      </c>
      <c r="N6" s="194">
        <f t="shared" si="1"/>
        <v>58.950231343507767</v>
      </c>
      <c r="O6" s="194">
        <f t="shared" si="1"/>
        <v>49.636572778224945</v>
      </c>
      <c r="P6" s="194">
        <f t="shared" si="1"/>
        <v>47.981543362140656</v>
      </c>
      <c r="Q6" s="194">
        <f t="shared" si="1"/>
        <v>45.172328814864159</v>
      </c>
      <c r="R6" s="194">
        <f t="shared" si="1"/>
        <v>28.997243843972683</v>
      </c>
      <c r="S6" s="194">
        <f t="shared" si="1"/>
        <v>51.885319620370865</v>
      </c>
      <c r="V6" s="50"/>
      <c r="W6" s="50"/>
      <c r="Z6" s="50"/>
      <c r="AA6" s="50"/>
      <c r="AB6" s="50"/>
      <c r="AC6" s="50"/>
      <c r="AD6" s="50"/>
      <c r="AE6" s="50"/>
      <c r="AF6" s="50"/>
    </row>
    <row r="7" spans="2:32" x14ac:dyDescent="0.2">
      <c r="B7" s="29">
        <f t="shared" si="10"/>
        <v>21</v>
      </c>
      <c r="C7" s="29">
        <f t="shared" si="11"/>
        <v>2029</v>
      </c>
      <c r="D7" s="29">
        <f t="shared" si="12"/>
        <v>2030</v>
      </c>
      <c r="E7" s="54">
        <f t="shared" ca="1" si="2"/>
        <v>64.940451481600491</v>
      </c>
      <c r="F7" s="54">
        <f t="shared" ca="1" si="3"/>
        <v>62.656410223647377</v>
      </c>
      <c r="G7" s="54">
        <f t="shared" ca="1" si="4"/>
        <v>23.902268214211119</v>
      </c>
      <c r="H7" s="54">
        <f t="shared" ca="1" si="5"/>
        <v>46.992307667735531</v>
      </c>
      <c r="I7" s="54">
        <f t="shared" ca="1" si="6"/>
        <v>81.986664709499266</v>
      </c>
      <c r="J7" s="54">
        <f t="shared" ca="1" si="7"/>
        <v>51.040011679237359</v>
      </c>
      <c r="K7" s="54">
        <f t="shared" ca="1" si="8"/>
        <v>9.3890032112421178</v>
      </c>
      <c r="L7" s="173"/>
      <c r="M7" s="194">
        <f t="shared" si="9"/>
        <v>76.205735713243484</v>
      </c>
      <c r="N7" s="194">
        <f t="shared" si="1"/>
        <v>62.159488797187805</v>
      </c>
      <c r="O7" s="194">
        <f t="shared" si="1"/>
        <v>51.036148250102997</v>
      </c>
      <c r="P7" s="194">
        <f t="shared" si="1"/>
        <v>53.050936698913574</v>
      </c>
      <c r="Q7" s="194">
        <f t="shared" si="1"/>
        <v>45.792026668787003</v>
      </c>
      <c r="R7" s="194">
        <f t="shared" si="1"/>
        <v>31.546543642878532</v>
      </c>
      <c r="S7" s="194">
        <f t="shared" si="1"/>
        <v>56.91817232966423</v>
      </c>
      <c r="V7" s="50"/>
      <c r="W7" s="50"/>
      <c r="Z7" s="50"/>
      <c r="AA7" s="50"/>
      <c r="AB7" s="50"/>
      <c r="AC7" s="50"/>
      <c r="AD7" s="50"/>
      <c r="AE7" s="50"/>
      <c r="AF7" s="50"/>
    </row>
    <row r="8" spans="2:32" x14ac:dyDescent="0.2">
      <c r="B8" s="29">
        <f t="shared" si="10"/>
        <v>22</v>
      </c>
      <c r="C8" s="29">
        <f t="shared" si="11"/>
        <v>2030</v>
      </c>
      <c r="D8" s="29">
        <f t="shared" si="12"/>
        <v>2031</v>
      </c>
      <c r="E8" s="55">
        <f t="shared" ca="1" si="2"/>
        <v>66.285721098097596</v>
      </c>
      <c r="F8" s="55">
        <f t="shared" ca="1" si="3"/>
        <v>63.954364934919028</v>
      </c>
      <c r="G8" s="55">
        <f t="shared" ca="1" si="4"/>
        <v>24.39741406645474</v>
      </c>
      <c r="H8" s="55">
        <f t="shared" ca="1" si="5"/>
        <v>47.965773701189271</v>
      </c>
      <c r="I8" s="55">
        <f t="shared" ca="1" si="6"/>
        <v>83.685054025792738</v>
      </c>
      <c r="J8" s="55">
        <f t="shared" ca="1" si="7"/>
        <v>52.097327656740063</v>
      </c>
      <c r="K8" s="55">
        <f t="shared" ca="1" si="8"/>
        <v>9.5835004846843326</v>
      </c>
      <c r="L8" s="173"/>
      <c r="M8" s="194">
        <f t="shared" si="9"/>
        <v>81.303312689065933</v>
      </c>
      <c r="N8" s="194">
        <f t="shared" si="1"/>
        <v>65.410830438137054</v>
      </c>
      <c r="O8" s="194">
        <f t="shared" si="1"/>
        <v>50.527499705553055</v>
      </c>
      <c r="P8" s="194">
        <f t="shared" si="1"/>
        <v>57.968276739120483</v>
      </c>
      <c r="Q8" s="194">
        <f t="shared" si="1"/>
        <v>45.980945974588394</v>
      </c>
      <c r="R8" s="194">
        <f t="shared" si="1"/>
        <v>33.936652153730392</v>
      </c>
      <c r="S8" s="194">
        <f t="shared" si="1"/>
        <v>62.194589674472809</v>
      </c>
      <c r="V8" s="50"/>
      <c r="W8" s="50"/>
      <c r="Z8" s="50"/>
      <c r="AA8" s="50"/>
      <c r="AB8" s="50"/>
      <c r="AC8" s="50"/>
      <c r="AD8" s="50"/>
      <c r="AE8" s="50"/>
      <c r="AF8" s="50"/>
    </row>
    <row r="9" spans="2:32" x14ac:dyDescent="0.2">
      <c r="B9" s="29">
        <f t="shared" si="10"/>
        <v>23</v>
      </c>
      <c r="C9" s="29">
        <f t="shared" si="11"/>
        <v>2031</v>
      </c>
      <c r="D9" s="29">
        <f t="shared" si="12"/>
        <v>2032</v>
      </c>
      <c r="E9" s="55">
        <f t="shared" ca="1" si="2"/>
        <v>67.658858558131072</v>
      </c>
      <c r="F9" s="55">
        <f t="shared" ca="1" si="3"/>
        <v>65.279207340945277</v>
      </c>
      <c r="G9" s="55">
        <f t="shared" ca="1" si="4"/>
        <v>24.902817079767633</v>
      </c>
      <c r="H9" s="55">
        <f t="shared" ca="1" si="5"/>
        <v>48.959405505708958</v>
      </c>
      <c r="I9" s="55">
        <f t="shared" ca="1" si="6"/>
        <v>85.418626213348503</v>
      </c>
      <c r="J9" s="55">
        <f t="shared" ca="1" si="7"/>
        <v>53.176546393264609</v>
      </c>
      <c r="K9" s="55">
        <f t="shared" ca="1" si="8"/>
        <v>9.7820268534975199</v>
      </c>
      <c r="L9" s="173"/>
      <c r="M9" s="55">
        <f t="shared" ref="M9:M23" ca="1" si="13">IFERROR(M8*(1+Inflation_Rate+BLS_Esc_Rate),"Data Missing")</f>
        <v>82.987546071892851</v>
      </c>
      <c r="N9" s="55">
        <f t="shared" ref="N9:N23" ca="1" si="14">IFERROR(N8*(1+Inflation_Rate+BLS_Esc_Rate),"Data Missing")</f>
        <v>66.765844158717684</v>
      </c>
      <c r="O9" s="55">
        <f t="shared" ref="O9:O23" ca="1" si="15">IFERROR(O8*(1+Inflation_Rate+BLS_Esc_Rate),"Data Missing")</f>
        <v>51.574198775249322</v>
      </c>
      <c r="P9" s="55">
        <f t="shared" ref="P9:P23" ca="1" si="16">IFERROR(P8*(1+Inflation_Rate+BLS_Esc_Rate),"Data Missing")</f>
        <v>59.169114732061281</v>
      </c>
      <c r="Q9" s="55">
        <f t="shared" ref="Q9:Q23" ca="1" si="17">IFERROR(Q8*(1+Inflation_Rate+BLS_Esc_Rate),"Data Missing")</f>
        <v>46.933461211950643</v>
      </c>
      <c r="R9" s="55">
        <f t="shared" ref="R9:R23" ca="1" si="18">IFERROR(R8*(1+Inflation_Rate+BLS_Esc_Rate),"Data Missing")</f>
        <v>34.639664621097971</v>
      </c>
      <c r="S9" s="55">
        <f t="shared" ref="S9:S23" ca="1" si="19">IFERROR(S8*(1+Inflation_Rate+BLS_Esc_Rate),"Data Missing")</f>
        <v>63.482977572781131</v>
      </c>
      <c r="V9" s="50"/>
      <c r="W9" s="50"/>
      <c r="Z9" s="50"/>
      <c r="AA9" s="50"/>
      <c r="AB9" s="50"/>
      <c r="AC9" s="50"/>
      <c r="AD9" s="50"/>
      <c r="AE9" s="50"/>
      <c r="AF9" s="50"/>
    </row>
    <row r="10" spans="2:32" x14ac:dyDescent="0.2">
      <c r="B10" s="29">
        <f t="shared" si="10"/>
        <v>24</v>
      </c>
      <c r="C10" s="29">
        <f t="shared" si="11"/>
        <v>2032</v>
      </c>
      <c r="D10" s="29">
        <f t="shared" si="12"/>
        <v>2033</v>
      </c>
      <c r="E10" s="55">
        <f t="shared" ca="1" si="2"/>
        <v>69.06044115616578</v>
      </c>
      <c r="F10" s="55">
        <f t="shared" ca="1" si="3"/>
        <v>66.631494431983896</v>
      </c>
      <c r="G10" s="55">
        <f t="shared" ca="1" si="4"/>
        <v>25.418689735689778</v>
      </c>
      <c r="H10" s="55">
        <f t="shared" ca="1" si="5"/>
        <v>49.973620823987922</v>
      </c>
      <c r="I10" s="55">
        <f t="shared" ca="1" si="6"/>
        <v>87.188110100603254</v>
      </c>
      <c r="J10" s="55">
        <f t="shared" ca="1" si="7"/>
        <v>54.278121613963158</v>
      </c>
      <c r="K10" s="55">
        <f t="shared" ca="1" si="8"/>
        <v>9.9846657821396683</v>
      </c>
      <c r="L10" s="173"/>
      <c r="M10" s="55">
        <f t="shared" ca="1" si="13"/>
        <v>84.706669079681021</v>
      </c>
      <c r="N10" s="55">
        <f t="shared" ca="1" si="14"/>
        <v>68.148927576176703</v>
      </c>
      <c r="O10" s="55">
        <f t="shared" ca="1" si="15"/>
        <v>52.642580670117773</v>
      </c>
      <c r="P10" s="55">
        <f t="shared" ca="1" si="16"/>
        <v>60.39482860481786</v>
      </c>
      <c r="Q10" s="55">
        <f t="shared" ca="1" si="17"/>
        <v>47.905708215551648</v>
      </c>
      <c r="R10" s="55">
        <f t="shared" ca="1" si="18"/>
        <v>35.357240296616887</v>
      </c>
      <c r="S10" s="55">
        <f t="shared" ca="1" si="19"/>
        <v>64.798054985164484</v>
      </c>
      <c r="V10" s="50"/>
      <c r="W10" s="50"/>
      <c r="Z10" s="50"/>
      <c r="AA10" s="50"/>
      <c r="AB10" s="50"/>
      <c r="AC10" s="50"/>
      <c r="AD10" s="50"/>
      <c r="AE10" s="50"/>
      <c r="AF10" s="50"/>
    </row>
    <row r="11" spans="2:32" x14ac:dyDescent="0.2">
      <c r="B11" s="29">
        <f t="shared" si="10"/>
        <v>25</v>
      </c>
      <c r="C11" s="29">
        <f t="shared" si="11"/>
        <v>2033</v>
      </c>
      <c r="D11" s="29">
        <f t="shared" si="12"/>
        <v>2034</v>
      </c>
      <c r="E11" s="55">
        <f t="shared" ca="1" si="2"/>
        <v>70.491058145571813</v>
      </c>
      <c r="F11" s="55">
        <f t="shared" ca="1" si="3"/>
        <v>68.011794736587419</v>
      </c>
      <c r="G11" s="55">
        <f t="shared" ca="1" si="4"/>
        <v>25.945248917408414</v>
      </c>
      <c r="H11" s="55">
        <f t="shared" ca="1" si="5"/>
        <v>51.008846052440568</v>
      </c>
      <c r="I11" s="55">
        <f t="shared" ca="1" si="6"/>
        <v>88.994249613990803</v>
      </c>
      <c r="J11" s="55">
        <f t="shared" ca="1" si="7"/>
        <v>55.402516443101163</v>
      </c>
      <c r="K11" s="55">
        <f t="shared" ca="1" si="8"/>
        <v>10.191502464071213</v>
      </c>
      <c r="L11" s="173"/>
      <c r="M11" s="55">
        <f t="shared" ca="1" si="13"/>
        <v>86.46140446614281</v>
      </c>
      <c r="N11" s="55">
        <f t="shared" ca="1" si="14"/>
        <v>69.560662166458499</v>
      </c>
      <c r="O11" s="55">
        <f t="shared" ca="1" si="15"/>
        <v>53.733094559285483</v>
      </c>
      <c r="P11" s="55">
        <f t="shared" ca="1" si="16"/>
        <v>61.645933672029031</v>
      </c>
      <c r="Q11" s="55">
        <f t="shared" ca="1" si="17"/>
        <v>48.898095737486521</v>
      </c>
      <c r="R11" s="55">
        <f t="shared" ca="1" si="18"/>
        <v>36.089680863459918</v>
      </c>
      <c r="S11" s="55">
        <f t="shared" ca="1" si="19"/>
        <v>66.140374796481908</v>
      </c>
      <c r="V11" s="50"/>
      <c r="W11" s="50"/>
      <c r="Z11" s="50"/>
      <c r="AA11" s="50"/>
      <c r="AB11" s="50"/>
      <c r="AC11" s="50"/>
      <c r="AD11" s="50"/>
      <c r="AE11" s="50"/>
      <c r="AF11" s="50"/>
    </row>
    <row r="12" spans="2:32" x14ac:dyDescent="0.2">
      <c r="B12" s="29">
        <f t="shared" si="10"/>
        <v>26</v>
      </c>
      <c r="C12" s="29">
        <f t="shared" si="11"/>
        <v>2034</v>
      </c>
      <c r="D12" s="29">
        <f t="shared" si="12"/>
        <v>2035</v>
      </c>
      <c r="E12" s="55">
        <f t="shared" ca="1" si="2"/>
        <v>71.951310986358365</v>
      </c>
      <c r="F12" s="55">
        <f t="shared" ca="1" si="3"/>
        <v>69.420688560623915</v>
      </c>
      <c r="G12" s="55">
        <f t="shared" ca="1" si="4"/>
        <v>26.482716000940055</v>
      </c>
      <c r="H12" s="55">
        <f t="shared" ca="1" si="5"/>
        <v>52.065516420467937</v>
      </c>
      <c r="I12" s="55">
        <f t="shared" ca="1" si="6"/>
        <v>90.837804090703699</v>
      </c>
      <c r="J12" s="55">
        <f t="shared" ca="1" si="7"/>
        <v>56.550203598764099</v>
      </c>
      <c r="K12" s="55">
        <f t="shared" ca="1" si="8"/>
        <v>10.402623857572072</v>
      </c>
      <c r="L12" s="173"/>
      <c r="M12" s="55">
        <f t="shared" ca="1" si="13"/>
        <v>88.252489957147191</v>
      </c>
      <c r="N12" s="55">
        <f t="shared" ca="1" si="14"/>
        <v>71.001641451033834</v>
      </c>
      <c r="O12" s="55">
        <f t="shared" ca="1" si="15"/>
        <v>54.846198916612799</v>
      </c>
      <c r="P12" s="55">
        <f t="shared" ca="1" si="16"/>
        <v>62.922955923299838</v>
      </c>
      <c r="Q12" s="55">
        <f t="shared" ca="1" si="17"/>
        <v>49.911040997327298</v>
      </c>
      <c r="R12" s="55">
        <f t="shared" ca="1" si="18"/>
        <v>36.837294254297603</v>
      </c>
      <c r="S12" s="55">
        <f t="shared" ca="1" si="19"/>
        <v>67.510501344842098</v>
      </c>
      <c r="V12" s="50"/>
      <c r="W12" s="50"/>
      <c r="Z12" s="50"/>
      <c r="AA12" s="50"/>
      <c r="AB12" s="50"/>
      <c r="AC12" s="50"/>
      <c r="AD12" s="50"/>
      <c r="AE12" s="50"/>
      <c r="AF12" s="50"/>
    </row>
    <row r="13" spans="2:32" x14ac:dyDescent="0.2">
      <c r="B13" s="29">
        <f t="shared" si="10"/>
        <v>27</v>
      </c>
      <c r="C13" s="29">
        <f t="shared" si="11"/>
        <v>2035</v>
      </c>
      <c r="D13" s="29">
        <f t="shared" si="12"/>
        <v>2036</v>
      </c>
      <c r="E13" s="55">
        <f t="shared" ca="1" si="2"/>
        <v>73.441813598039573</v>
      </c>
      <c r="F13" s="55">
        <f t="shared" ca="1" si="3"/>
        <v>70.858768231249172</v>
      </c>
      <c r="G13" s="55">
        <f t="shared" ca="1" si="4"/>
        <v>27.031316948201415</v>
      </c>
      <c r="H13" s="55">
        <f t="shared" ca="1" si="5"/>
        <v>53.144076173436879</v>
      </c>
      <c r="I13" s="55">
        <f t="shared" ca="1" si="6"/>
        <v>92.719548597933723</v>
      </c>
      <c r="J13" s="55">
        <f t="shared" ca="1" si="7"/>
        <v>57.721665591597592</v>
      </c>
      <c r="K13" s="55">
        <f t="shared" ca="1" si="8"/>
        <v>10.61811872230064</v>
      </c>
      <c r="L13" s="173"/>
      <c r="M13" s="55">
        <f t="shared" ca="1" si="13"/>
        <v>90.08067856087446</v>
      </c>
      <c r="N13" s="55">
        <f t="shared" ca="1" si="14"/>
        <v>72.472471246428157</v>
      </c>
      <c r="O13" s="55">
        <f t="shared" ca="1" si="15"/>
        <v>55.982361713444917</v>
      </c>
      <c r="P13" s="55">
        <f t="shared" ca="1" si="16"/>
        <v>64.226432244338113</v>
      </c>
      <c r="Q13" s="55">
        <f t="shared" ca="1" si="17"/>
        <v>50.944969857530396</v>
      </c>
      <c r="R13" s="55">
        <f t="shared" ca="1" si="18"/>
        <v>37.600394780759302</v>
      </c>
      <c r="S13" s="55">
        <f t="shared" ca="1" si="19"/>
        <v>68.909010658862414</v>
      </c>
      <c r="V13" s="50"/>
      <c r="W13" s="50"/>
      <c r="Z13" s="50"/>
      <c r="AA13" s="50"/>
      <c r="AB13" s="50"/>
      <c r="AC13" s="50"/>
      <c r="AD13" s="50"/>
      <c r="AE13" s="50"/>
      <c r="AF13" s="50"/>
    </row>
    <row r="14" spans="2:32" x14ac:dyDescent="0.2">
      <c r="B14" s="29">
        <f t="shared" si="10"/>
        <v>28</v>
      </c>
      <c r="C14" s="29">
        <f t="shared" si="11"/>
        <v>2036</v>
      </c>
      <c r="D14" s="29">
        <f t="shared" si="12"/>
        <v>2037</v>
      </c>
      <c r="E14" s="56">
        <f t="shared" ca="1" si="2"/>
        <v>74.963192617738557</v>
      </c>
      <c r="F14" s="56">
        <f t="shared" ca="1" si="3"/>
        <v>72.326638345932892</v>
      </c>
      <c r="G14" s="56">
        <f t="shared" ca="1" si="4"/>
        <v>27.5912824020083</v>
      </c>
      <c r="H14" s="56">
        <f t="shared" ca="1" si="5"/>
        <v>54.244978759449673</v>
      </c>
      <c r="I14" s="56">
        <f t="shared" ca="1" si="6"/>
        <v>94.640274258725711</v>
      </c>
      <c r="J14" s="56">
        <f t="shared" ca="1" si="7"/>
        <v>58.917394927664546</v>
      </c>
      <c r="K14" s="56">
        <f t="shared" ca="1" si="8"/>
        <v>10.838077656610132</v>
      </c>
      <c r="L14" s="173"/>
      <c r="M14" s="56">
        <f t="shared" ca="1" si="13"/>
        <v>91.946738884395941</v>
      </c>
      <c r="N14" s="56">
        <f t="shared" ca="1" si="14"/>
        <v>73.973769918918947</v>
      </c>
      <c r="O14" s="56">
        <f t="shared" ca="1" si="15"/>
        <v>57.142060615356399</v>
      </c>
      <c r="P14" s="56">
        <f t="shared" ca="1" si="16"/>
        <v>65.55691064267198</v>
      </c>
      <c r="Q14" s="56">
        <f t="shared" ca="1" si="17"/>
        <v>52.000317002477708</v>
      </c>
      <c r="R14" s="56">
        <f t="shared" ca="1" si="18"/>
        <v>38.379303265576091</v>
      </c>
      <c r="S14" s="56">
        <f t="shared" ca="1" si="19"/>
        <v>70.336490699842841</v>
      </c>
      <c r="V14" s="50"/>
      <c r="W14" s="50"/>
      <c r="Z14" s="50"/>
      <c r="AA14" s="50"/>
      <c r="AB14" s="50"/>
      <c r="AC14" s="50"/>
      <c r="AD14" s="50"/>
      <c r="AE14" s="50"/>
      <c r="AF14" s="50"/>
    </row>
    <row r="15" spans="2:32" x14ac:dyDescent="0.2">
      <c r="B15" s="29">
        <f t="shared" si="10"/>
        <v>29</v>
      </c>
      <c r="C15" s="29">
        <f t="shared" si="11"/>
        <v>2037</v>
      </c>
      <c r="D15" s="29">
        <f t="shared" si="12"/>
        <v>2038</v>
      </c>
      <c r="E15" s="56">
        <f t="shared" ca="1" si="2"/>
        <v>76.516087663638203</v>
      </c>
      <c r="F15" s="56">
        <f t="shared" ca="1" si="3"/>
        <v>73.824916026643592</v>
      </c>
      <c r="G15" s="56">
        <f t="shared" ca="1" si="4"/>
        <v>28.162847783042483</v>
      </c>
      <c r="H15" s="56">
        <f t="shared" ca="1" si="5"/>
        <v>55.368687019982694</v>
      </c>
      <c r="I15" s="56">
        <f t="shared" ca="1" si="6"/>
        <v>96.600788584581437</v>
      </c>
      <c r="J15" s="56">
        <f t="shared" ca="1" si="7"/>
        <v>60.13789431550456</v>
      </c>
      <c r="K15" s="56">
        <f t="shared" ca="1" si="8"/>
        <v>11.062593135637941</v>
      </c>
      <c r="L15" s="173"/>
      <c r="M15" s="56">
        <f t="shared" ca="1" si="13"/>
        <v>93.851455456811777</v>
      </c>
      <c r="N15" s="56">
        <f t="shared" ca="1" si="14"/>
        <v>75.50616864450933</v>
      </c>
      <c r="O15" s="56">
        <f t="shared" ca="1" si="15"/>
        <v>58.325783182971357</v>
      </c>
      <c r="P15" s="56">
        <f t="shared" ca="1" si="16"/>
        <v>66.914950478043153</v>
      </c>
      <c r="Q15" s="56">
        <f t="shared" ca="1" si="17"/>
        <v>53.077526121226612</v>
      </c>
      <c r="R15" s="56">
        <f t="shared" ca="1" si="18"/>
        <v>39.174347177461058</v>
      </c>
      <c r="S15" s="56">
        <f t="shared" ca="1" si="19"/>
        <v>71.793541608956687</v>
      </c>
      <c r="V15" s="50"/>
      <c r="W15" s="50"/>
      <c r="Z15" s="50"/>
      <c r="AA15" s="50"/>
      <c r="AB15" s="50"/>
      <c r="AC15" s="50"/>
      <c r="AD15" s="50"/>
      <c r="AE15" s="50"/>
      <c r="AF15" s="50"/>
    </row>
    <row r="16" spans="2:32" x14ac:dyDescent="0.2">
      <c r="B16" s="29">
        <f t="shared" si="10"/>
        <v>30</v>
      </c>
      <c r="C16" s="29">
        <f t="shared" si="11"/>
        <v>2038</v>
      </c>
      <c r="D16" s="29">
        <f t="shared" si="12"/>
        <v>2039</v>
      </c>
      <c r="E16" s="56">
        <f t="shared" ca="1" si="2"/>
        <v>78.101151603889463</v>
      </c>
      <c r="F16" s="56">
        <f t="shared" ca="1" si="3"/>
        <v>75.354231179298978</v>
      </c>
      <c r="G16" s="56">
        <f t="shared" ca="1" si="4"/>
        <v>28.746253388827256</v>
      </c>
      <c r="H16" s="56">
        <f t="shared" ca="1" si="5"/>
        <v>56.515673384474233</v>
      </c>
      <c r="I16" s="56">
        <f t="shared" ca="1" si="6"/>
        <v>98.601915814953671</v>
      </c>
      <c r="J16" s="56">
        <f t="shared" ca="1" si="7"/>
        <v>61.38367687748265</v>
      </c>
      <c r="K16" s="56">
        <f t="shared" ca="1" si="8"/>
        <v>11.291759550184038</v>
      </c>
      <c r="L16" s="173"/>
      <c r="M16" s="56">
        <f t="shared" ca="1" si="13"/>
        <v>95.795629059082657</v>
      </c>
      <c r="N16" s="56">
        <f t="shared" ca="1" si="14"/>
        <v>77.070311674287069</v>
      </c>
      <c r="O16" s="56">
        <f t="shared" ca="1" si="15"/>
        <v>59.534027076943673</v>
      </c>
      <c r="P16" s="56">
        <f t="shared" ca="1" si="16"/>
        <v>68.301122697572993</v>
      </c>
      <c r="Q16" s="56">
        <f t="shared" ca="1" si="17"/>
        <v>54.177050094045747</v>
      </c>
      <c r="R16" s="56">
        <f t="shared" ca="1" si="18"/>
        <v>39.985860768783702</v>
      </c>
      <c r="S16" s="56">
        <f t="shared" ca="1" si="19"/>
        <v>73.280775959561936</v>
      </c>
      <c r="V16" s="50"/>
      <c r="W16" s="50"/>
      <c r="Z16" s="50"/>
      <c r="AA16" s="50"/>
      <c r="AB16" s="50"/>
      <c r="AC16" s="50"/>
      <c r="AD16" s="50"/>
      <c r="AE16" s="50"/>
      <c r="AF16" s="50"/>
    </row>
    <row r="17" spans="2:34" x14ac:dyDescent="0.2">
      <c r="B17" s="29">
        <f t="shared" si="10"/>
        <v>31</v>
      </c>
      <c r="C17" s="29">
        <f t="shared" si="11"/>
        <v>2039</v>
      </c>
      <c r="D17" s="29">
        <f t="shared" si="12"/>
        <v>2040</v>
      </c>
      <c r="E17" s="56">
        <f t="shared" ca="1" si="2"/>
        <v>79.719050831090172</v>
      </c>
      <c r="F17" s="56">
        <f t="shared" ca="1" si="3"/>
        <v>76.915226758591047</v>
      </c>
      <c r="G17" s="56">
        <f t="shared" ca="1" si="4"/>
        <v>29.341744494753321</v>
      </c>
      <c r="H17" s="56">
        <f t="shared" ca="1" si="5"/>
        <v>57.686420068943285</v>
      </c>
      <c r="I17" s="56">
        <f t="shared" ca="1" si="6"/>
        <v>100.64449726377291</v>
      </c>
      <c r="J17" s="56">
        <f t="shared" ca="1" si="7"/>
        <v>62.655266365516155</v>
      </c>
      <c r="K17" s="56">
        <f t="shared" ca="1" si="8"/>
        <v>11.525673246394749</v>
      </c>
      <c r="L17" s="173"/>
      <c r="M17" s="56">
        <f t="shared" ca="1" si="13"/>
        <v>97.780077060694154</v>
      </c>
      <c r="N17" s="56">
        <f t="shared" ca="1" si="14"/>
        <v>78.6668566052806</v>
      </c>
      <c r="O17" s="56">
        <f t="shared" ca="1" si="15"/>
        <v>60.767300267183501</v>
      </c>
      <c r="P17" s="56">
        <f t="shared" ca="1" si="16"/>
        <v>69.716010075800085</v>
      </c>
      <c r="Q17" s="56">
        <f t="shared" ca="1" si="17"/>
        <v>55.29935118281491</v>
      </c>
      <c r="R17" s="56">
        <f t="shared" ca="1" si="18"/>
        <v>40.814185216096313</v>
      </c>
      <c r="S17" s="56">
        <f t="shared" ca="1" si="19"/>
        <v>74.798819014739365</v>
      </c>
      <c r="V17" s="50"/>
      <c r="W17" s="50"/>
      <c r="Z17" s="50"/>
      <c r="AA17" s="50"/>
      <c r="AB17" s="50"/>
      <c r="AC17" s="50"/>
      <c r="AD17" s="50"/>
      <c r="AE17" s="50"/>
      <c r="AF17" s="50"/>
    </row>
    <row r="18" spans="2:34" x14ac:dyDescent="0.2">
      <c r="B18" s="29">
        <f t="shared" si="10"/>
        <v>32</v>
      </c>
      <c r="C18" s="29">
        <f t="shared" si="11"/>
        <v>2040</v>
      </c>
      <c r="D18" s="29">
        <f t="shared" si="12"/>
        <v>2041</v>
      </c>
      <c r="E18" s="56">
        <f t="shared" ca="1" si="2"/>
        <v>81.370465542449836</v>
      </c>
      <c r="F18" s="56">
        <f t="shared" ca="1" si="3"/>
        <v>78.508559038297079</v>
      </c>
      <c r="G18" s="56">
        <f t="shared" ca="1" si="4"/>
        <v>29.949571457197468</v>
      </c>
      <c r="H18" s="56">
        <f t="shared" ca="1" si="5"/>
        <v>58.881419278722809</v>
      </c>
      <c r="I18" s="56">
        <f t="shared" ca="1" si="6"/>
        <v>102.72939167315256</v>
      </c>
      <c r="J18" s="56">
        <f t="shared" ca="1" si="7"/>
        <v>63.953197381270535</v>
      </c>
      <c r="K18" s="56">
        <f t="shared" ca="1" si="8"/>
        <v>11.76443256626861</v>
      </c>
      <c r="L18" s="173"/>
      <c r="M18" s="56">
        <f t="shared" ca="1" si="13"/>
        <v>99.805633763295248</v>
      </c>
      <c r="N18" s="56">
        <f t="shared" ca="1" si="14"/>
        <v>80.296474656925994</v>
      </c>
      <c r="O18" s="56">
        <f t="shared" ca="1" si="15"/>
        <v>62.026121246417993</v>
      </c>
      <c r="P18" s="56">
        <f t="shared" ca="1" si="16"/>
        <v>71.160207459690341</v>
      </c>
      <c r="Q18" s="56">
        <f t="shared" ca="1" si="17"/>
        <v>56.444901225369229</v>
      </c>
      <c r="R18" s="56">
        <f t="shared" ca="1" si="18"/>
        <v>41.659668763571432</v>
      </c>
      <c r="S18" s="56">
        <f t="shared" ca="1" si="19"/>
        <v>76.34830899016562</v>
      </c>
      <c r="V18" s="50"/>
      <c r="W18" s="50"/>
      <c r="Z18" s="50"/>
      <c r="AA18" s="50"/>
      <c r="AB18" s="50"/>
      <c r="AC18" s="50"/>
      <c r="AD18" s="50"/>
      <c r="AE18" s="50"/>
      <c r="AF18" s="50"/>
    </row>
    <row r="19" spans="2:34" x14ac:dyDescent="0.2">
      <c r="B19" s="29">
        <f t="shared" si="10"/>
        <v>33</v>
      </c>
      <c r="C19" s="29">
        <f t="shared" si="11"/>
        <v>2041</v>
      </c>
      <c r="D19" s="29">
        <f t="shared" si="12"/>
        <v>2042</v>
      </c>
      <c r="E19" s="56">
        <f t="shared" ca="1" si="2"/>
        <v>83.056090025758166</v>
      </c>
      <c r="F19" s="56">
        <f t="shared" ca="1" si="3"/>
        <v>80.134897887190263</v>
      </c>
      <c r="G19" s="56">
        <f t="shared" ca="1" si="4"/>
        <v>30.569989818777415</v>
      </c>
      <c r="H19" s="56">
        <f t="shared" ca="1" si="5"/>
        <v>60.101173415392701</v>
      </c>
      <c r="I19" s="56">
        <f t="shared" ca="1" si="6"/>
        <v>104.85747557442137</v>
      </c>
      <c r="J19" s="56">
        <f t="shared" ca="1" si="7"/>
        <v>65.278015600916589</v>
      </c>
      <c r="K19" s="56">
        <f t="shared" ca="1" si="8"/>
        <v>12.008137889001302</v>
      </c>
      <c r="L19" s="173"/>
      <c r="M19" s="56">
        <f t="shared" ca="1" si="13"/>
        <v>101.87315075145538</v>
      </c>
      <c r="N19" s="56">
        <f t="shared" ca="1" si="14"/>
        <v>81.959850953261068</v>
      </c>
      <c r="O19" s="56">
        <f t="shared" ca="1" si="15"/>
        <v>63.311019248176002</v>
      </c>
      <c r="P19" s="56">
        <f t="shared" ca="1" si="16"/>
        <v>72.634322018722543</v>
      </c>
      <c r="Q19" s="56">
        <f t="shared" ca="1" si="17"/>
        <v>57.61418183386921</v>
      </c>
      <c r="R19" s="56">
        <f t="shared" ca="1" si="18"/>
        <v>42.522666869410671</v>
      </c>
      <c r="S19" s="56">
        <f t="shared" ca="1" si="19"/>
        <v>77.929897322431884</v>
      </c>
      <c r="V19" s="50"/>
      <c r="W19" s="50"/>
      <c r="Z19" s="50"/>
      <c r="AA19" s="50"/>
      <c r="AB19" s="50"/>
      <c r="AC19" s="50"/>
      <c r="AD19" s="50"/>
      <c r="AE19" s="50"/>
      <c r="AF19" s="50"/>
    </row>
    <row r="20" spans="2:34" x14ac:dyDescent="0.2">
      <c r="B20" s="29">
        <f t="shared" si="10"/>
        <v>34</v>
      </c>
      <c r="C20" s="29">
        <f t="shared" si="11"/>
        <v>2042</v>
      </c>
      <c r="D20" s="29">
        <f t="shared" si="12"/>
        <v>2043</v>
      </c>
      <c r="E20" s="56">
        <f t="shared" ca="1" si="2"/>
        <v>84.77663295127752</v>
      </c>
      <c r="F20" s="56">
        <f t="shared" ca="1" si="3"/>
        <v>81.794927050665947</v>
      </c>
      <c r="G20" s="56">
        <f t="shared" ca="1" si="4"/>
        <v>31.203260415787028</v>
      </c>
      <c r="H20" s="56">
        <f t="shared" ca="1" si="5"/>
        <v>61.346195287999471</v>
      </c>
      <c r="I20" s="56">
        <f t="shared" ca="1" si="6"/>
        <v>107.0296436566347</v>
      </c>
      <c r="J20" s="56">
        <f t="shared" ca="1" si="7"/>
        <v>66.630278004543669</v>
      </c>
      <c r="K20" s="56">
        <f t="shared" ca="1" si="8"/>
        <v>12.256891673187081</v>
      </c>
      <c r="L20" s="173"/>
      <c r="M20" s="56">
        <f t="shared" ca="1" si="13"/>
        <v>103.98349725068771</v>
      </c>
      <c r="N20" s="56">
        <f t="shared" ca="1" si="14"/>
        <v>83.657684810965193</v>
      </c>
      <c r="O20" s="56">
        <f t="shared" ca="1" si="15"/>
        <v>64.622534469288468</v>
      </c>
      <c r="P20" s="56">
        <f t="shared" ca="1" si="16"/>
        <v>74.138973500154549</v>
      </c>
      <c r="Q20" s="56">
        <f t="shared" ca="1" si="17"/>
        <v>58.807684597280137</v>
      </c>
      <c r="R20" s="56">
        <f t="shared" ca="1" si="18"/>
        <v>43.403542355286433</v>
      </c>
      <c r="S20" s="56">
        <f t="shared" ca="1" si="19"/>
        <v>79.544248942920845</v>
      </c>
      <c r="V20" s="50"/>
      <c r="W20" s="50"/>
      <c r="Z20" s="50"/>
      <c r="AA20" s="50"/>
      <c r="AB20" s="50"/>
      <c r="AC20" s="50"/>
      <c r="AD20" s="50"/>
      <c r="AE20" s="50"/>
      <c r="AF20" s="50"/>
    </row>
    <row r="21" spans="2:34" x14ac:dyDescent="0.2">
      <c r="B21" s="29">
        <f t="shared" si="10"/>
        <v>35</v>
      </c>
      <c r="C21" s="29">
        <f t="shared" si="11"/>
        <v>2043</v>
      </c>
      <c r="D21" s="29">
        <f t="shared" si="12"/>
        <v>2044</v>
      </c>
      <c r="E21" s="56">
        <f t="shared" ca="1" si="2"/>
        <v>86.532817669682103</v>
      </c>
      <c r="F21" s="56">
        <f t="shared" ca="1" si="3"/>
        <v>83.489344438201883</v>
      </c>
      <c r="G21" s="56">
        <f t="shared" ca="1" si="4"/>
        <v>31.849649487857128</v>
      </c>
      <c r="H21" s="56">
        <f t="shared" ca="1" si="5"/>
        <v>62.617008328651423</v>
      </c>
      <c r="I21" s="56">
        <f t="shared" ca="1" si="6"/>
        <v>109.24680914271971</v>
      </c>
      <c r="J21" s="56">
        <f t="shared" ca="1" si="7"/>
        <v>68.010553110325219</v>
      </c>
      <c r="K21" s="56">
        <f t="shared" ca="1" si="8"/>
        <v>12.510798499894417</v>
      </c>
      <c r="L21" s="173"/>
      <c r="M21" s="56">
        <f t="shared" ca="1" si="13"/>
        <v>106.13756049288881</v>
      </c>
      <c r="N21" s="56">
        <f t="shared" ca="1" si="14"/>
        <v>85.390690033366042</v>
      </c>
      <c r="O21" s="56">
        <f t="shared" ca="1" si="15"/>
        <v>65.961218296997941</v>
      </c>
      <c r="P21" s="56">
        <f t="shared" ca="1" si="16"/>
        <v>75.674794489577451</v>
      </c>
      <c r="Q21" s="56">
        <f t="shared" ca="1" si="17"/>
        <v>60.025911288045911</v>
      </c>
      <c r="R21" s="56">
        <f t="shared" ca="1" si="18"/>
        <v>44.302665558879426</v>
      </c>
      <c r="S21" s="56">
        <f t="shared" ca="1" si="19"/>
        <v>81.192042557357169</v>
      </c>
      <c r="V21" s="50"/>
      <c r="W21" s="50"/>
      <c r="Z21" s="50"/>
      <c r="AA21" s="50"/>
      <c r="AB21" s="50"/>
      <c r="AC21" s="50"/>
      <c r="AD21" s="50"/>
      <c r="AE21" s="50"/>
      <c r="AF21" s="50"/>
    </row>
    <row r="22" spans="2:34" x14ac:dyDescent="0.2">
      <c r="B22" s="29">
        <f t="shared" si="10"/>
        <v>36</v>
      </c>
      <c r="C22" s="29">
        <f t="shared" si="11"/>
        <v>2044</v>
      </c>
      <c r="D22" s="29">
        <f t="shared" si="12"/>
        <v>2045</v>
      </c>
      <c r="E22" s="56">
        <f t="shared" ca="1" si="2"/>
        <v>88.325382516169029</v>
      </c>
      <c r="F22" s="56">
        <f t="shared" ca="1" si="3"/>
        <v>85.21886241677332</v>
      </c>
      <c r="G22" s="56">
        <f t="shared" ca="1" si="4"/>
        <v>32.509428789887949</v>
      </c>
      <c r="H22" s="56">
        <f t="shared" ca="1" si="5"/>
        <v>63.91414681258</v>
      </c>
      <c r="I22" s="56">
        <f t="shared" ca="1" si="6"/>
        <v>111.50990417341254</v>
      </c>
      <c r="J22" s="56">
        <f t="shared" ca="1" si="7"/>
        <v>69.419421213535216</v>
      </c>
      <c r="K22" s="56">
        <f t="shared" ca="1" si="8"/>
        <v>12.769965116633969</v>
      </c>
      <c r="L22" s="173"/>
      <c r="M22" s="56">
        <f t="shared" ca="1" si="13"/>
        <v>108.33624608934885</v>
      </c>
      <c r="N22" s="56">
        <f t="shared" ca="1" si="14"/>
        <v>87.159595210536793</v>
      </c>
      <c r="O22" s="56">
        <f t="shared" ca="1" si="15"/>
        <v>67.327633540772851</v>
      </c>
      <c r="P22" s="56">
        <f t="shared" ca="1" si="16"/>
        <v>77.242430676867201</v>
      </c>
      <c r="Q22" s="56">
        <f t="shared" ca="1" si="17"/>
        <v>61.269374073044219</v>
      </c>
      <c r="R22" s="56">
        <f t="shared" ca="1" si="18"/>
        <v>45.220414489576022</v>
      </c>
      <c r="S22" s="56">
        <f t="shared" ca="1" si="19"/>
        <v>82.873970931148946</v>
      </c>
      <c r="V22" s="50"/>
      <c r="W22" s="50"/>
      <c r="Z22" s="50"/>
      <c r="AA22" s="50"/>
      <c r="AB22" s="50"/>
      <c r="AC22" s="50"/>
      <c r="AD22" s="50"/>
      <c r="AE22" s="50"/>
      <c r="AF22" s="50"/>
    </row>
    <row r="23" spans="2:34" x14ac:dyDescent="0.2">
      <c r="B23" s="29">
        <f t="shared" si="10"/>
        <v>37</v>
      </c>
      <c r="C23" s="29">
        <f>C22+1</f>
        <v>2045</v>
      </c>
      <c r="D23" s="29">
        <f t="shared" si="12"/>
        <v>2046</v>
      </c>
      <c r="E23" s="56">
        <f t="shared" ca="1" si="2"/>
        <v>90.155081120869241</v>
      </c>
      <c r="F23" s="56">
        <f t="shared" ca="1" si="3"/>
        <v>86.984208110346358</v>
      </c>
      <c r="G23" s="56">
        <f t="shared" ca="1" si="4"/>
        <v>33.182875706300344</v>
      </c>
      <c r="H23" s="56">
        <f t="shared" ca="1" si="5"/>
        <v>65.238156082759772</v>
      </c>
      <c r="I23" s="56">
        <f t="shared" ca="1" si="6"/>
        <v>113.81988019914894</v>
      </c>
      <c r="J23" s="56">
        <f t="shared" ca="1" si="7"/>
        <v>70.857474630515895</v>
      </c>
      <c r="K23" s="56">
        <f t="shared" ca="1" si="8"/>
        <v>13.034500482237377</v>
      </c>
      <c r="L23" s="173"/>
      <c r="M23" s="56">
        <f t="shared" ca="1" si="13"/>
        <v>110.58047841148857</v>
      </c>
      <c r="N23" s="56">
        <f t="shared" ca="1" si="14"/>
        <v>88.965144025609973</v>
      </c>
      <c r="O23" s="56">
        <f t="shared" ca="1" si="15"/>
        <v>68.722354668923842</v>
      </c>
      <c r="P23" s="56">
        <f t="shared" ca="1" si="16"/>
        <v>78.842541127645546</v>
      </c>
      <c r="Q23" s="56">
        <f t="shared" ca="1" si="17"/>
        <v>62.538595728911744</v>
      </c>
      <c r="R23" s="56">
        <f t="shared" ca="1" si="18"/>
        <v>46.157174987390974</v>
      </c>
      <c r="S23" s="56">
        <f t="shared" ca="1" si="19"/>
        <v>84.590741180640151</v>
      </c>
      <c r="V23" s="50"/>
      <c r="W23" s="50"/>
      <c r="Z23" s="50"/>
      <c r="AA23" s="50"/>
      <c r="AB23" s="50"/>
      <c r="AC23" s="50"/>
      <c r="AD23" s="50"/>
      <c r="AE23" s="50"/>
      <c r="AF23" s="50"/>
    </row>
    <row r="24" spans="2:34" x14ac:dyDescent="0.2">
      <c r="B24" s="50"/>
      <c r="C24" s="50"/>
      <c r="D24" s="50"/>
      <c r="E24" s="50"/>
      <c r="F24" s="50"/>
      <c r="G24" s="50"/>
      <c r="H24" s="50"/>
      <c r="I24" s="50"/>
      <c r="J24" s="50"/>
      <c r="K24" s="50"/>
      <c r="M24" s="50"/>
      <c r="N24" s="50"/>
      <c r="O24" s="50"/>
      <c r="P24" s="50"/>
      <c r="Q24" s="50"/>
      <c r="R24" s="50"/>
      <c r="S24" s="50"/>
      <c r="V24" s="50"/>
      <c r="W24" s="50"/>
      <c r="Z24" s="50"/>
      <c r="AA24" s="50"/>
      <c r="AB24" s="50"/>
      <c r="AC24" s="50"/>
      <c r="AD24" s="50"/>
      <c r="AE24" s="50"/>
      <c r="AF24" s="50"/>
    </row>
    <row r="25" spans="2:34" x14ac:dyDescent="0.2">
      <c r="B25" s="50"/>
      <c r="C25" s="50"/>
      <c r="D25" s="50"/>
      <c r="E25" s="50"/>
      <c r="F25" s="50"/>
      <c r="G25" s="50"/>
      <c r="H25" s="50"/>
      <c r="I25" s="50"/>
      <c r="J25" s="50"/>
      <c r="K25" s="50"/>
      <c r="M25" s="50"/>
      <c r="N25" s="50"/>
      <c r="O25" s="50"/>
      <c r="P25" s="50"/>
      <c r="Q25" s="50"/>
      <c r="R25" s="50"/>
      <c r="S25" s="50"/>
      <c r="V25" s="50"/>
      <c r="W25" s="50"/>
      <c r="Z25" s="50"/>
      <c r="AA25" s="50"/>
      <c r="AB25" s="50"/>
      <c r="AC25" s="50"/>
      <c r="AD25" s="50"/>
      <c r="AE25" s="50"/>
      <c r="AF25" s="50"/>
    </row>
    <row r="26" spans="2:34" x14ac:dyDescent="0.2">
      <c r="B26" s="364" t="s">
        <v>226</v>
      </c>
      <c r="C26" s="362"/>
      <c r="D26" s="362"/>
      <c r="E26" s="362"/>
      <c r="F26" s="362"/>
      <c r="G26" s="362"/>
      <c r="H26" s="362"/>
      <c r="I26" s="362"/>
      <c r="J26" s="362"/>
      <c r="K26" s="363"/>
      <c r="M26" s="364" t="s">
        <v>227</v>
      </c>
      <c r="N26" s="362"/>
      <c r="O26" s="362"/>
      <c r="P26" s="362"/>
      <c r="Q26" s="362"/>
      <c r="R26" s="362"/>
      <c r="S26" s="363"/>
      <c r="V26" s="50"/>
      <c r="W26" s="50"/>
      <c r="Z26" s="50"/>
      <c r="AA26" s="50"/>
      <c r="AB26" s="50"/>
      <c r="AC26" s="50"/>
      <c r="AD26" s="50"/>
      <c r="AE26" s="50"/>
      <c r="AF26" s="50"/>
    </row>
    <row r="27" spans="2:34" x14ac:dyDescent="0.2">
      <c r="B27" s="53" t="s">
        <v>67</v>
      </c>
      <c r="C27" s="53" t="s">
        <v>217</v>
      </c>
      <c r="D27" s="53" t="s">
        <v>218</v>
      </c>
      <c r="E27" s="53" t="s">
        <v>85</v>
      </c>
      <c r="F27" s="53" t="s">
        <v>88</v>
      </c>
      <c r="G27" s="53" t="s">
        <v>91</v>
      </c>
      <c r="H27" s="53" t="s">
        <v>93</v>
      </c>
      <c r="I27" s="53" t="s">
        <v>95</v>
      </c>
      <c r="J27" s="53" t="s">
        <v>97</v>
      </c>
      <c r="K27" s="53" t="s">
        <v>66</v>
      </c>
      <c r="M27" s="53" t="s">
        <v>85</v>
      </c>
      <c r="N27" s="53" t="s">
        <v>88</v>
      </c>
      <c r="O27" s="53" t="s">
        <v>91</v>
      </c>
      <c r="P27" s="53" t="s">
        <v>93</v>
      </c>
      <c r="Q27" s="53" t="s">
        <v>95</v>
      </c>
      <c r="R27" s="53" t="s">
        <v>97</v>
      </c>
      <c r="S27" s="53" t="s">
        <v>66</v>
      </c>
      <c r="V27" s="50"/>
      <c r="W27" s="50"/>
      <c r="Z27" s="50"/>
      <c r="AA27" s="50"/>
      <c r="AB27" s="50"/>
      <c r="AC27" s="50"/>
      <c r="AD27" s="50"/>
      <c r="AE27" s="50"/>
      <c r="AF27" s="50"/>
    </row>
    <row r="28" spans="2:34" ht="15" x14ac:dyDescent="0.25">
      <c r="B28" s="29">
        <v>18</v>
      </c>
      <c r="C28" s="30">
        <v>2026</v>
      </c>
      <c r="D28" s="30">
        <v>2027</v>
      </c>
      <c r="E28" s="194">
        <f>_xlfn.XLOOKUP(E$3,$X$40:$X$46,$W$40:$W$46,0,0,1)</f>
        <v>0</v>
      </c>
      <c r="F28" s="194">
        <f t="shared" ref="F28:K28" si="20">_xlfn.XLOOKUP(F$3,$X$40:$X$46,$W$40:$W$46,0,0,1)</f>
        <v>0</v>
      </c>
      <c r="G28" s="194">
        <f t="shared" si="20"/>
        <v>0</v>
      </c>
      <c r="H28" s="194">
        <f t="shared" si="20"/>
        <v>14.729617636451891</v>
      </c>
      <c r="I28" s="194">
        <f t="shared" si="20"/>
        <v>0</v>
      </c>
      <c r="J28" s="194">
        <f t="shared" si="20"/>
        <v>47.995080057201598</v>
      </c>
      <c r="K28" s="194">
        <f t="shared" si="20"/>
        <v>8.8288765216760154</v>
      </c>
      <c r="M28" s="194">
        <f>INDEX($AA$40:$AE$46,MATCH(M$27,$AF$40:$AF$46,0),MATCH($C28,$AA$39:$AE$39,0))</f>
        <v>0.20763701629766729</v>
      </c>
      <c r="N28" s="194">
        <f t="shared" ref="N28:S32" si="21">INDEX($AA$40:$AE$46,MATCH(N$27,$AF$40:$AF$46,0),MATCH($C28,$AA$39:$AE$39,0))</f>
        <v>6.6986062973737717</v>
      </c>
      <c r="O28" s="194">
        <f t="shared" si="21"/>
        <v>10.260940611362457</v>
      </c>
      <c r="P28" s="194">
        <f t="shared" si="21"/>
        <v>5.7866418436169624</v>
      </c>
      <c r="Q28" s="194">
        <f t="shared" si="21"/>
        <v>16.268832236528397</v>
      </c>
      <c r="R28" s="194">
        <f t="shared" si="21"/>
        <v>32.438420206308365</v>
      </c>
      <c r="S28" s="194">
        <f t="shared" si="21"/>
        <v>5.0498091280460358</v>
      </c>
      <c r="V28" s="354" t="s">
        <v>228</v>
      </c>
      <c r="W28" s="355"/>
      <c r="X28" s="356"/>
      <c r="Y28" s="83"/>
      <c r="Z28" s="357" t="s">
        <v>229</v>
      </c>
      <c r="AA28" s="358"/>
      <c r="AB28" s="358"/>
      <c r="AC28" s="358"/>
      <c r="AD28" s="358"/>
      <c r="AE28" s="358"/>
      <c r="AF28" s="359"/>
      <c r="AG28" s="83"/>
      <c r="AH28" s="83"/>
    </row>
    <row r="29" spans="2:34" ht="15" x14ac:dyDescent="0.25">
      <c r="B29" s="29">
        <f>B28+1</f>
        <v>19</v>
      </c>
      <c r="C29" s="29">
        <f>C28+1</f>
        <v>2027</v>
      </c>
      <c r="D29" s="29">
        <f>D28+1</f>
        <v>2028</v>
      </c>
      <c r="E29" s="54">
        <f t="shared" ref="E29:E47" ca="1" si="22">IFERROR(E28*(1+Inflation_Rate+BLS_Esc_Rate),"Data Missing")</f>
        <v>0</v>
      </c>
      <c r="F29" s="54">
        <f t="shared" ref="F29:F47" ca="1" si="23">IFERROR(F28*(1+Inflation_Rate+BLS_Esc_Rate),"Data Missing")</f>
        <v>0</v>
      </c>
      <c r="G29" s="54">
        <f t="shared" ref="G29:G47" ca="1" si="24">IFERROR(G28*(1+Inflation_Rate+BLS_Esc_Rate),"Data Missing")</f>
        <v>0</v>
      </c>
      <c r="H29" s="54">
        <f t="shared" ref="H29:H47" ca="1" si="25">IFERROR(H28*(1+Inflation_Rate+BLS_Esc_Rate),"Data Missing")</f>
        <v>15.034748053885975</v>
      </c>
      <c r="I29" s="54">
        <f t="shared" ref="I29:I47" ca="1" si="26">IFERROR(I28*(1+Inflation_Rate+BLS_Esc_Rate),"Data Missing")</f>
        <v>0</v>
      </c>
      <c r="J29" s="54">
        <f t="shared" ref="J29:J47" ca="1" si="27">IFERROR(J28*(1+Inflation_Rate+BLS_Esc_Rate),"Data Missing")</f>
        <v>48.989318955595962</v>
      </c>
      <c r="K29" s="54">
        <f t="shared" ref="K29:K47" ca="1" si="28">IFERROR(K28*(1+Inflation_Rate+BLS_Esc_Rate),"Data Missing")</f>
        <v>9.0117705278222537</v>
      </c>
      <c r="M29" s="194">
        <f t="shared" ref="M29:M32" si="29">INDEX($AA$40:$AE$46,MATCH(M$27,$AF$40:$AF$46,0),MATCH($C29,$AA$39:$AE$39,0))</f>
        <v>0.11778279328427743</v>
      </c>
      <c r="N29" s="194">
        <f t="shared" si="21"/>
        <v>7.213163748383522</v>
      </c>
      <c r="O29" s="194">
        <f t="shared" si="21"/>
        <v>5.6713871508836746</v>
      </c>
      <c r="P29" s="194">
        <f t="shared" si="21"/>
        <v>5.9728990346193314</v>
      </c>
      <c r="Q29" s="194">
        <f t="shared" si="21"/>
        <v>16.763737365603447</v>
      </c>
      <c r="R29" s="194">
        <f t="shared" si="21"/>
        <v>36.476239919662476</v>
      </c>
      <c r="S29" s="194">
        <f t="shared" si="21"/>
        <v>6.0599454417824745</v>
      </c>
      <c r="V29" s="174" t="s">
        <v>142</v>
      </c>
      <c r="W29" s="174">
        <v>2026</v>
      </c>
      <c r="X29" s="174" t="s">
        <v>230</v>
      </c>
      <c r="Y29" s="83"/>
      <c r="Z29" s="174" t="s">
        <v>142</v>
      </c>
      <c r="AA29" s="174">
        <v>2026</v>
      </c>
      <c r="AB29" s="174">
        <v>2027</v>
      </c>
      <c r="AC29" s="174">
        <v>2028</v>
      </c>
      <c r="AD29" s="174">
        <v>2029</v>
      </c>
      <c r="AE29" s="174">
        <v>2030</v>
      </c>
      <c r="AF29" s="174" t="s">
        <v>230</v>
      </c>
      <c r="AG29" s="83"/>
      <c r="AH29" s="83"/>
    </row>
    <row r="30" spans="2:34" ht="15" x14ac:dyDescent="0.25">
      <c r="B30" s="29">
        <f t="shared" ref="B30:D45" si="30">B29+1</f>
        <v>20</v>
      </c>
      <c r="C30" s="29">
        <f t="shared" si="30"/>
        <v>2028</v>
      </c>
      <c r="D30" s="29">
        <f t="shared" si="30"/>
        <v>2029</v>
      </c>
      <c r="E30" s="54">
        <f t="shared" ca="1" si="22"/>
        <v>0</v>
      </c>
      <c r="F30" s="54">
        <f t="shared" ca="1" si="23"/>
        <v>0</v>
      </c>
      <c r="G30" s="54">
        <f t="shared" ca="1" si="24"/>
        <v>0</v>
      </c>
      <c r="H30" s="54">
        <f t="shared" ca="1" si="25"/>
        <v>15.346199380249363</v>
      </c>
      <c r="I30" s="54">
        <f t="shared" ca="1" si="26"/>
        <v>0</v>
      </c>
      <c r="J30" s="54">
        <f t="shared" ca="1" si="27"/>
        <v>50.004153943962514</v>
      </c>
      <c r="K30" s="54">
        <f t="shared" ca="1" si="28"/>
        <v>9.1984532626252022</v>
      </c>
      <c r="M30" s="194">
        <f t="shared" si="29"/>
        <v>0.18054041865980253</v>
      </c>
      <c r="N30" s="194">
        <f t="shared" si="21"/>
        <v>8.1627058982849121</v>
      </c>
      <c r="O30" s="194">
        <f t="shared" si="21"/>
        <v>5.5437757298350334</v>
      </c>
      <c r="P30" s="194">
        <f t="shared" si="21"/>
        <v>6.2364486157894135</v>
      </c>
      <c r="Q30" s="194">
        <f t="shared" si="21"/>
        <v>19.332805186510086</v>
      </c>
      <c r="R30" s="194">
        <f t="shared" si="21"/>
        <v>39.396159112453461</v>
      </c>
      <c r="S30" s="194">
        <f t="shared" si="21"/>
        <v>7.0145137757062912</v>
      </c>
      <c r="V30" s="200" t="s">
        <v>91</v>
      </c>
      <c r="W30" s="192">
        <v>22.476312969897599</v>
      </c>
      <c r="X30" s="200" t="s">
        <v>91</v>
      </c>
      <c r="Y30" s="83"/>
      <c r="Z30" s="200" t="s">
        <v>91</v>
      </c>
      <c r="AA30" s="193">
        <v>39.611060321331024</v>
      </c>
      <c r="AB30" s="193">
        <v>47.206502795219421</v>
      </c>
      <c r="AC30" s="193">
        <v>49.636572778224945</v>
      </c>
      <c r="AD30" s="193">
        <v>51.036148250102997</v>
      </c>
      <c r="AE30" s="193">
        <v>50.527499705553055</v>
      </c>
      <c r="AF30" s="200" t="str">
        <f>Z30</f>
        <v>PECO</v>
      </c>
      <c r="AG30" s="83"/>
      <c r="AH30" s="83"/>
    </row>
    <row r="31" spans="2:34" ht="15" x14ac:dyDescent="0.25">
      <c r="B31" s="29">
        <f t="shared" si="30"/>
        <v>21</v>
      </c>
      <c r="C31" s="29">
        <f t="shared" si="30"/>
        <v>2029</v>
      </c>
      <c r="D31" s="29">
        <f t="shared" si="30"/>
        <v>2030</v>
      </c>
      <c r="E31" s="54">
        <f t="shared" ca="1" si="22"/>
        <v>0</v>
      </c>
      <c r="F31" s="54">
        <f t="shared" ca="1" si="23"/>
        <v>0</v>
      </c>
      <c r="G31" s="54">
        <f t="shared" ca="1" si="24"/>
        <v>0</v>
      </c>
      <c r="H31" s="54">
        <f t="shared" ca="1" si="25"/>
        <v>15.664102555911844</v>
      </c>
      <c r="I31" s="54">
        <f t="shared" ca="1" si="26"/>
        <v>0</v>
      </c>
      <c r="J31" s="54">
        <f t="shared" ca="1" si="27"/>
        <v>51.040011679237359</v>
      </c>
      <c r="K31" s="54">
        <f t="shared" ca="1" si="28"/>
        <v>9.3890032112421178</v>
      </c>
      <c r="M31" s="194">
        <f t="shared" si="29"/>
        <v>0.17797850159695372</v>
      </c>
      <c r="N31" s="194">
        <f t="shared" si="21"/>
        <v>8.6434143781661987</v>
      </c>
      <c r="O31" s="194">
        <f t="shared" si="21"/>
        <v>5.0832354128360748</v>
      </c>
      <c r="P31" s="194">
        <f t="shared" si="21"/>
        <v>6.5808972865343094</v>
      </c>
      <c r="Q31" s="194">
        <f t="shared" si="21"/>
        <v>20.573377847671509</v>
      </c>
      <c r="R31" s="194">
        <f t="shared" si="21"/>
        <v>41.879006385803223</v>
      </c>
      <c r="S31" s="194">
        <f t="shared" si="21"/>
        <v>7.9289728403091431</v>
      </c>
      <c r="V31" s="200" t="s">
        <v>97</v>
      </c>
      <c r="W31" s="192">
        <v>47.995080057201598</v>
      </c>
      <c r="X31" s="200" t="s">
        <v>97</v>
      </c>
      <c r="Y31" s="83"/>
      <c r="Z31" s="200" t="s">
        <v>97</v>
      </c>
      <c r="AA31" s="193">
        <v>25.111235558986664</v>
      </c>
      <c r="AB31" s="193">
        <v>26.679436318576336</v>
      </c>
      <c r="AC31" s="193">
        <v>28.997243843972683</v>
      </c>
      <c r="AD31" s="193">
        <v>31.546543642878532</v>
      </c>
      <c r="AE31" s="193">
        <v>33.936652153730392</v>
      </c>
      <c r="AF31" s="200" t="str">
        <f t="shared" ref="AF31" si="31">Z31</f>
        <v>PPL</v>
      </c>
      <c r="AG31" s="83"/>
      <c r="AH31" s="83"/>
    </row>
    <row r="32" spans="2:34" ht="15" x14ac:dyDescent="0.25">
      <c r="B32" s="29">
        <f t="shared" si="30"/>
        <v>22</v>
      </c>
      <c r="C32" s="29">
        <f t="shared" si="30"/>
        <v>2030</v>
      </c>
      <c r="D32" s="29">
        <f t="shared" si="30"/>
        <v>2031</v>
      </c>
      <c r="E32" s="55">
        <f t="shared" ca="1" si="22"/>
        <v>0</v>
      </c>
      <c r="F32" s="55">
        <f t="shared" ca="1" si="23"/>
        <v>0</v>
      </c>
      <c r="G32" s="55">
        <f t="shared" ca="1" si="24"/>
        <v>0</v>
      </c>
      <c r="H32" s="55">
        <f t="shared" ca="1" si="25"/>
        <v>15.988591233729757</v>
      </c>
      <c r="I32" s="55">
        <f t="shared" ca="1" si="26"/>
        <v>0</v>
      </c>
      <c r="J32" s="55">
        <f t="shared" ca="1" si="27"/>
        <v>52.097327656740063</v>
      </c>
      <c r="K32" s="55">
        <f t="shared" ca="1" si="28"/>
        <v>9.5835004846843326</v>
      </c>
      <c r="M32" s="194">
        <f t="shared" si="29"/>
        <v>0.28674811066593975</v>
      </c>
      <c r="N32" s="194">
        <f t="shared" si="21"/>
        <v>9.6837112307548523</v>
      </c>
      <c r="O32" s="194">
        <f t="shared" si="21"/>
        <v>7.1649304032325745</v>
      </c>
      <c r="P32" s="194">
        <f t="shared" si="21"/>
        <v>7.2358373701572418</v>
      </c>
      <c r="Q32" s="194">
        <f t="shared" si="21"/>
        <v>22.698736995458603</v>
      </c>
      <c r="R32" s="194">
        <f t="shared" si="21"/>
        <v>44.304232895374298</v>
      </c>
      <c r="S32" s="194">
        <f t="shared" si="21"/>
        <v>9.0186463743448257</v>
      </c>
      <c r="V32" s="200" t="s">
        <v>231</v>
      </c>
      <c r="W32" s="192">
        <v>61.066251069807805</v>
      </c>
      <c r="X32" s="200" t="s">
        <v>85</v>
      </c>
      <c r="Y32" s="83"/>
      <c r="Z32" s="200" t="s">
        <v>232</v>
      </c>
      <c r="AA32" s="193">
        <v>59.278992861509323</v>
      </c>
      <c r="AB32" s="193">
        <v>64.428142130374908</v>
      </c>
      <c r="AC32" s="193">
        <v>69.92870157957077</v>
      </c>
      <c r="AD32" s="193">
        <v>76.205735713243484</v>
      </c>
      <c r="AE32" s="193">
        <v>81.303312689065933</v>
      </c>
      <c r="AF32" s="200" t="s">
        <v>85</v>
      </c>
      <c r="AG32" s="83"/>
      <c r="AH32" s="83"/>
    </row>
    <row r="33" spans="2:36" ht="15" x14ac:dyDescent="0.25">
      <c r="B33" s="29">
        <f t="shared" si="30"/>
        <v>23</v>
      </c>
      <c r="C33" s="29">
        <f t="shared" si="30"/>
        <v>2031</v>
      </c>
      <c r="D33" s="29">
        <f t="shared" si="30"/>
        <v>2032</v>
      </c>
      <c r="E33" s="55">
        <f t="shared" ca="1" si="22"/>
        <v>0</v>
      </c>
      <c r="F33" s="55">
        <f t="shared" ca="1" si="23"/>
        <v>0</v>
      </c>
      <c r="G33" s="55">
        <f t="shared" ca="1" si="24"/>
        <v>0</v>
      </c>
      <c r="H33" s="55">
        <f t="shared" ca="1" si="25"/>
        <v>16.319801835236319</v>
      </c>
      <c r="I33" s="55">
        <f t="shared" ca="1" si="26"/>
        <v>0</v>
      </c>
      <c r="J33" s="55">
        <f t="shared" ca="1" si="27"/>
        <v>53.176546393264609</v>
      </c>
      <c r="K33" s="55">
        <f t="shared" ca="1" si="28"/>
        <v>9.7820268534975199</v>
      </c>
      <c r="M33" s="55">
        <f t="shared" ref="M33:M47" ca="1" si="32">IFERROR(M32*(1+Inflation_Rate+BLS_Esc_Rate),"Data Missing")</f>
        <v>0.29268822213831119</v>
      </c>
      <c r="N33" s="55">
        <f t="shared" ref="N33:N47" ca="1" si="33">IFERROR(N32*(1+Inflation_Rate+BLS_Esc_Rate),"Data Missing")</f>
        <v>9.8843135086333369</v>
      </c>
      <c r="O33" s="55">
        <f t="shared" ref="O33:O47" ca="1" si="34">IFERROR(O32*(1+Inflation_Rate+BLS_Esc_Rate),"Data Missing")</f>
        <v>7.313355043897662</v>
      </c>
      <c r="P33" s="55">
        <f t="shared" ref="P33:P47" ca="1" si="35">IFERROR(P32*(1+Inflation_Rate+BLS_Esc_Rate),"Data Missing")</f>
        <v>7.3857308793938508</v>
      </c>
      <c r="Q33" s="55">
        <f t="shared" ref="Q33:Q47" ca="1" si="36">IFERROR(Q32*(1+Inflation_Rate+BLS_Esc_Rate),"Data Missing")</f>
        <v>23.168951176545733</v>
      </c>
      <c r="R33" s="55">
        <f t="shared" ref="R33:R47" ca="1" si="37">IFERROR(R32*(1+Inflation_Rate+BLS_Esc_Rate),"Data Missing")</f>
        <v>45.222014294126126</v>
      </c>
      <c r="S33" s="55">
        <f t="shared" ref="S33:S47" ca="1" si="38">IFERROR(S32*(1+Inflation_Rate+BLS_Esc_Rate),"Data Missing")</f>
        <v>9.2054715452904787</v>
      </c>
      <c r="V33" s="200" t="s">
        <v>233</v>
      </c>
      <c r="W33" s="192">
        <v>58.918470545807565</v>
      </c>
      <c r="X33" s="200" t="s">
        <v>88</v>
      </c>
      <c r="Y33" s="83"/>
      <c r="Z33" s="200" t="s">
        <v>233</v>
      </c>
      <c r="AA33" s="193">
        <v>52.461790069937706</v>
      </c>
      <c r="AB33" s="193">
        <v>55.816346317529678</v>
      </c>
      <c r="AC33" s="193">
        <v>58.950231343507767</v>
      </c>
      <c r="AD33" s="193">
        <v>62.159488797187805</v>
      </c>
      <c r="AE33" s="193">
        <v>65.410830438137054</v>
      </c>
      <c r="AF33" s="200" t="s">
        <v>88</v>
      </c>
      <c r="AG33" s="83"/>
      <c r="AH33" s="83"/>
    </row>
    <row r="34" spans="2:36" ht="15" x14ac:dyDescent="0.25">
      <c r="B34" s="29">
        <f t="shared" si="30"/>
        <v>24</v>
      </c>
      <c r="C34" s="29">
        <f t="shared" si="30"/>
        <v>2032</v>
      </c>
      <c r="D34" s="29">
        <f t="shared" si="30"/>
        <v>2033</v>
      </c>
      <c r="E34" s="55">
        <f t="shared" ca="1" si="22"/>
        <v>0</v>
      </c>
      <c r="F34" s="55">
        <f t="shared" ca="1" si="23"/>
        <v>0</v>
      </c>
      <c r="G34" s="55">
        <f t="shared" ca="1" si="24"/>
        <v>0</v>
      </c>
      <c r="H34" s="55">
        <f t="shared" ca="1" si="25"/>
        <v>16.657873607995974</v>
      </c>
      <c r="I34" s="55">
        <f t="shared" ca="1" si="26"/>
        <v>0</v>
      </c>
      <c r="J34" s="55">
        <f t="shared" ca="1" si="27"/>
        <v>54.278121613963158</v>
      </c>
      <c r="K34" s="55">
        <f t="shared" ca="1" si="28"/>
        <v>9.9846657821396683</v>
      </c>
      <c r="M34" s="55">
        <f t="shared" ca="1" si="32"/>
        <v>0.29875138559600262</v>
      </c>
      <c r="N34" s="55">
        <f t="shared" ca="1" si="33"/>
        <v>10.089071349697374</v>
      </c>
      <c r="O34" s="55">
        <f t="shared" ca="1" si="34"/>
        <v>7.4648543653644808</v>
      </c>
      <c r="P34" s="55">
        <f t="shared" ca="1" si="35"/>
        <v>7.5387294976816843</v>
      </c>
      <c r="Q34" s="55">
        <f t="shared" ca="1" si="36"/>
        <v>23.648906048321496</v>
      </c>
      <c r="R34" s="55">
        <f t="shared" ca="1" si="37"/>
        <v>46.158807932586157</v>
      </c>
      <c r="S34" s="55">
        <f t="shared" ca="1" si="38"/>
        <v>9.396166880676569</v>
      </c>
      <c r="V34" s="200" t="s">
        <v>234</v>
      </c>
      <c r="W34" s="192">
        <v>44.188852909355674</v>
      </c>
      <c r="X34" s="200" t="s">
        <v>93</v>
      </c>
      <c r="Y34" s="83"/>
      <c r="Z34" s="200" t="s">
        <v>234</v>
      </c>
      <c r="AA34" s="193">
        <v>37.179658055305481</v>
      </c>
      <c r="AB34" s="193">
        <v>42.6428142786026</v>
      </c>
      <c r="AC34" s="193">
        <v>47.981543362140656</v>
      </c>
      <c r="AD34" s="193">
        <v>53.050936698913574</v>
      </c>
      <c r="AE34" s="193">
        <v>57.968276739120483</v>
      </c>
      <c r="AF34" s="200" t="s">
        <v>93</v>
      </c>
      <c r="AG34" s="83"/>
      <c r="AH34" s="83"/>
    </row>
    <row r="35" spans="2:36" ht="15" x14ac:dyDescent="0.25">
      <c r="B35" s="29">
        <f t="shared" si="30"/>
        <v>25</v>
      </c>
      <c r="C35" s="29">
        <f t="shared" si="30"/>
        <v>2033</v>
      </c>
      <c r="D35" s="29">
        <f t="shared" si="30"/>
        <v>2034</v>
      </c>
      <c r="E35" s="55">
        <f t="shared" ca="1" si="22"/>
        <v>0</v>
      </c>
      <c r="F35" s="55">
        <f t="shared" ca="1" si="23"/>
        <v>0</v>
      </c>
      <c r="G35" s="55">
        <f t="shared" ca="1" si="24"/>
        <v>0</v>
      </c>
      <c r="H35" s="55">
        <f t="shared" ca="1" si="25"/>
        <v>17.002948684146855</v>
      </c>
      <c r="I35" s="55">
        <f t="shared" ca="1" si="26"/>
        <v>0</v>
      </c>
      <c r="J35" s="55">
        <f t="shared" ca="1" si="27"/>
        <v>55.402516443101163</v>
      </c>
      <c r="K35" s="55">
        <f t="shared" ca="1" si="28"/>
        <v>10.191502464071213</v>
      </c>
      <c r="M35" s="55">
        <f t="shared" ca="1" si="32"/>
        <v>0.3049401501142564</v>
      </c>
      <c r="N35" s="55">
        <f t="shared" ca="1" si="33"/>
        <v>10.298070838240578</v>
      </c>
      <c r="O35" s="55">
        <f t="shared" ca="1" si="34"/>
        <v>7.6194920609792991</v>
      </c>
      <c r="P35" s="55">
        <f t="shared" ca="1" si="35"/>
        <v>7.6948975487013946</v>
      </c>
      <c r="Q35" s="55">
        <f t="shared" ca="1" si="36"/>
        <v>24.138803393417955</v>
      </c>
      <c r="R35" s="55">
        <f t="shared" ca="1" si="37"/>
        <v>47.11500765754537</v>
      </c>
      <c r="S35" s="55">
        <f t="shared" ca="1" si="38"/>
        <v>9.5908125526379333</v>
      </c>
      <c r="V35" s="200" t="s">
        <v>235</v>
      </c>
      <c r="W35" s="192">
        <v>77.095525782492501</v>
      </c>
      <c r="X35" s="200" t="s">
        <v>95</v>
      </c>
      <c r="Y35" s="83"/>
      <c r="Z35" s="200" t="s">
        <v>235</v>
      </c>
      <c r="AA35" s="193">
        <v>43.516912236809731</v>
      </c>
      <c r="AB35" s="193">
        <v>45.517780646681786</v>
      </c>
      <c r="AC35" s="193">
        <v>45.172328814864159</v>
      </c>
      <c r="AD35" s="193">
        <v>45.792026668787003</v>
      </c>
      <c r="AE35" s="193">
        <v>45.980945974588394</v>
      </c>
      <c r="AF35" s="200" t="s">
        <v>95</v>
      </c>
      <c r="AG35" s="83"/>
      <c r="AH35" s="83"/>
    </row>
    <row r="36" spans="2:36" ht="15" x14ac:dyDescent="0.25">
      <c r="B36" s="29">
        <f t="shared" si="30"/>
        <v>26</v>
      </c>
      <c r="C36" s="29">
        <f t="shared" si="30"/>
        <v>2034</v>
      </c>
      <c r="D36" s="29">
        <f t="shared" si="30"/>
        <v>2035</v>
      </c>
      <c r="E36" s="55">
        <f t="shared" ca="1" si="22"/>
        <v>0</v>
      </c>
      <c r="F36" s="55">
        <f t="shared" ca="1" si="23"/>
        <v>0</v>
      </c>
      <c r="G36" s="55">
        <f t="shared" ca="1" si="24"/>
        <v>0</v>
      </c>
      <c r="H36" s="55">
        <f t="shared" ca="1" si="25"/>
        <v>17.355172140155979</v>
      </c>
      <c r="I36" s="55">
        <f t="shared" ca="1" si="26"/>
        <v>0</v>
      </c>
      <c r="J36" s="55">
        <f t="shared" ca="1" si="27"/>
        <v>56.550203598764099</v>
      </c>
      <c r="K36" s="55">
        <f t="shared" ca="1" si="28"/>
        <v>10.402623857572072</v>
      </c>
      <c r="M36" s="55">
        <f t="shared" ca="1" si="32"/>
        <v>0.3112571175735141</v>
      </c>
      <c r="N36" s="55">
        <f t="shared" ca="1" si="33"/>
        <v>10.511399841830045</v>
      </c>
      <c r="O36" s="55">
        <f t="shared" ca="1" si="34"/>
        <v>7.7773331435236752</v>
      </c>
      <c r="P36" s="55">
        <f t="shared" ca="1" si="35"/>
        <v>7.8543006886265765</v>
      </c>
      <c r="Q36" s="55">
        <f t="shared" ca="1" si="36"/>
        <v>24.638849174481905</v>
      </c>
      <c r="R36" s="55">
        <f t="shared" ca="1" si="37"/>
        <v>48.091015474501837</v>
      </c>
      <c r="S36" s="55">
        <f t="shared" ca="1" si="38"/>
        <v>9.7894903941099525</v>
      </c>
      <c r="V36" s="200" t="s">
        <v>236</v>
      </c>
      <c r="W36" s="192">
        <v>8.8288765216760154</v>
      </c>
      <c r="X36" s="200" t="s">
        <v>66</v>
      </c>
      <c r="Y36" s="83"/>
      <c r="Z36" s="200" t="s">
        <v>236</v>
      </c>
      <c r="AA36" s="193">
        <v>41.24516749382019</v>
      </c>
      <c r="AB36" s="193">
        <v>46.265887528657913</v>
      </c>
      <c r="AC36" s="193">
        <v>51.885319620370865</v>
      </c>
      <c r="AD36" s="193">
        <v>56.91817232966423</v>
      </c>
      <c r="AE36" s="193">
        <v>62.194589674472809</v>
      </c>
      <c r="AF36" s="200" t="s">
        <v>66</v>
      </c>
      <c r="AG36" s="83"/>
      <c r="AH36" s="83"/>
    </row>
    <row r="37" spans="2:36" ht="15" x14ac:dyDescent="0.25">
      <c r="B37" s="29">
        <f t="shared" si="30"/>
        <v>27</v>
      </c>
      <c r="C37" s="29">
        <f t="shared" si="30"/>
        <v>2035</v>
      </c>
      <c r="D37" s="29">
        <f t="shared" si="30"/>
        <v>2036</v>
      </c>
      <c r="E37" s="55">
        <f t="shared" ca="1" si="22"/>
        <v>0</v>
      </c>
      <c r="F37" s="55">
        <f t="shared" ca="1" si="23"/>
        <v>0</v>
      </c>
      <c r="G37" s="55">
        <f t="shared" ca="1" si="24"/>
        <v>0</v>
      </c>
      <c r="H37" s="55">
        <f t="shared" ca="1" si="25"/>
        <v>17.714692057812293</v>
      </c>
      <c r="I37" s="55">
        <f t="shared" ca="1" si="26"/>
        <v>0</v>
      </c>
      <c r="J37" s="55">
        <f t="shared" ca="1" si="27"/>
        <v>57.721665591597592</v>
      </c>
      <c r="K37" s="55">
        <f t="shared" ca="1" si="28"/>
        <v>10.61811872230064</v>
      </c>
      <c r="M37" s="55">
        <f t="shared" ca="1" si="32"/>
        <v>0.317704943753299</v>
      </c>
      <c r="N37" s="55">
        <f t="shared" ca="1" si="33"/>
        <v>10.729148048247625</v>
      </c>
      <c r="O37" s="55">
        <f t="shared" ca="1" si="34"/>
        <v>7.938443972547133</v>
      </c>
      <c r="P37" s="55">
        <f t="shared" ca="1" si="35"/>
        <v>8.0170059337269333</v>
      </c>
      <c r="Q37" s="55">
        <f t="shared" ca="1" si="36"/>
        <v>25.149253620765688</v>
      </c>
      <c r="R37" s="55">
        <f t="shared" ca="1" si="37"/>
        <v>49.087241716671855</v>
      </c>
      <c r="S37" s="55">
        <f t="shared" ca="1" si="38"/>
        <v>9.9922839332327538</v>
      </c>
      <c r="V37" s="83"/>
      <c r="W37" s="83"/>
      <c r="X37" s="83"/>
      <c r="Y37" s="83"/>
      <c r="Z37" s="83"/>
      <c r="AA37" s="83"/>
      <c r="AB37" s="83"/>
      <c r="AC37" s="83"/>
      <c r="AD37" s="83"/>
      <c r="AE37" s="83"/>
      <c r="AF37" s="83"/>
      <c r="AG37" s="83"/>
      <c r="AH37" s="83"/>
    </row>
    <row r="38" spans="2:36" ht="15" x14ac:dyDescent="0.25">
      <c r="B38" s="29">
        <f t="shared" si="30"/>
        <v>28</v>
      </c>
      <c r="C38" s="29">
        <f t="shared" si="30"/>
        <v>2036</v>
      </c>
      <c r="D38" s="29">
        <f t="shared" si="30"/>
        <v>2037</v>
      </c>
      <c r="E38" s="56">
        <f t="shared" ca="1" si="22"/>
        <v>0</v>
      </c>
      <c r="F38" s="56">
        <f t="shared" ca="1" si="23"/>
        <v>0</v>
      </c>
      <c r="G38" s="56">
        <f t="shared" ca="1" si="24"/>
        <v>0</v>
      </c>
      <c r="H38" s="56">
        <f t="shared" ca="1" si="25"/>
        <v>18.081659586483223</v>
      </c>
      <c r="I38" s="56">
        <f t="shared" ca="1" si="26"/>
        <v>0</v>
      </c>
      <c r="J38" s="56">
        <f t="shared" ca="1" si="27"/>
        <v>58.917394927664546</v>
      </c>
      <c r="K38" s="56">
        <f t="shared" ca="1" si="28"/>
        <v>10.838077656610132</v>
      </c>
      <c r="M38" s="56">
        <f t="shared" ca="1" si="32"/>
        <v>0.32428633944875901</v>
      </c>
      <c r="N38" s="56">
        <f t="shared" ca="1" si="33"/>
        <v>10.95140700319647</v>
      </c>
      <c r="O38" s="56">
        <f t="shared" ca="1" si="34"/>
        <v>8.1028922822660459</v>
      </c>
      <c r="P38" s="56">
        <f t="shared" ca="1" si="35"/>
        <v>8.1830816885432593</v>
      </c>
      <c r="Q38" s="56">
        <f t="shared" ca="1" si="36"/>
        <v>25.670231316511792</v>
      </c>
      <c r="R38" s="56">
        <f t="shared" ca="1" si="37"/>
        <v>50.104105217502266</v>
      </c>
      <c r="S38" s="56">
        <f t="shared" ca="1" si="38"/>
        <v>10.199278428468112</v>
      </c>
      <c r="V38" s="354" t="s">
        <v>237</v>
      </c>
      <c r="W38" s="355"/>
      <c r="X38" s="356"/>
      <c r="Y38" s="83"/>
      <c r="Z38" s="357" t="s">
        <v>238</v>
      </c>
      <c r="AA38" s="358"/>
      <c r="AB38" s="358"/>
      <c r="AC38" s="358"/>
      <c r="AD38" s="358"/>
      <c r="AE38" s="358"/>
      <c r="AF38" s="359"/>
      <c r="AG38" s="83"/>
      <c r="AH38" s="83"/>
    </row>
    <row r="39" spans="2:36" ht="15" x14ac:dyDescent="0.25">
      <c r="B39" s="29">
        <f t="shared" si="30"/>
        <v>29</v>
      </c>
      <c r="C39" s="29">
        <f t="shared" si="30"/>
        <v>2037</v>
      </c>
      <c r="D39" s="29">
        <f t="shared" si="30"/>
        <v>2038</v>
      </c>
      <c r="E39" s="56">
        <f t="shared" ca="1" si="22"/>
        <v>0</v>
      </c>
      <c r="F39" s="56">
        <f t="shared" ca="1" si="23"/>
        <v>0</v>
      </c>
      <c r="G39" s="56">
        <f t="shared" ca="1" si="24"/>
        <v>0</v>
      </c>
      <c r="H39" s="56">
        <f t="shared" ca="1" si="25"/>
        <v>18.456229006660898</v>
      </c>
      <c r="I39" s="56">
        <f t="shared" ca="1" si="26"/>
        <v>0</v>
      </c>
      <c r="J39" s="56">
        <f t="shared" ca="1" si="27"/>
        <v>60.13789431550456</v>
      </c>
      <c r="K39" s="56">
        <f t="shared" ca="1" si="28"/>
        <v>11.062593135637941</v>
      </c>
      <c r="M39" s="56">
        <f t="shared" ca="1" si="32"/>
        <v>0.33100407161033912</v>
      </c>
      <c r="N39" s="56">
        <f t="shared" ca="1" si="33"/>
        <v>11.178270148788675</v>
      </c>
      <c r="O39" s="56">
        <f t="shared" ca="1" si="34"/>
        <v>8.2707472100404527</v>
      </c>
      <c r="P39" s="56">
        <f t="shared" ca="1" si="35"/>
        <v>8.35259777464608</v>
      </c>
      <c r="Q39" s="56">
        <f t="shared" ca="1" si="36"/>
        <v>26.202001291168344</v>
      </c>
      <c r="R39" s="56">
        <f t="shared" ca="1" si="37"/>
        <v>51.142033486756404</v>
      </c>
      <c r="S39" s="56">
        <f t="shared" ca="1" si="38"/>
        <v>10.410560904443814</v>
      </c>
      <c r="V39" s="175" t="s">
        <v>142</v>
      </c>
      <c r="W39" s="175">
        <v>2026</v>
      </c>
      <c r="X39" s="175" t="s">
        <v>230</v>
      </c>
      <c r="Y39" s="83"/>
      <c r="Z39" s="175" t="s">
        <v>142</v>
      </c>
      <c r="AA39" s="175">
        <v>2026</v>
      </c>
      <c r="AB39" s="175">
        <v>2027</v>
      </c>
      <c r="AC39" s="175">
        <v>2028</v>
      </c>
      <c r="AD39" s="175">
        <v>2029</v>
      </c>
      <c r="AE39" s="175">
        <v>2030</v>
      </c>
      <c r="AF39" s="175" t="s">
        <v>230</v>
      </c>
      <c r="AG39" s="83"/>
      <c r="AH39" s="83"/>
    </row>
    <row r="40" spans="2:36" ht="15" x14ac:dyDescent="0.25">
      <c r="B40" s="29">
        <f t="shared" si="30"/>
        <v>30</v>
      </c>
      <c r="C40" s="29">
        <f t="shared" si="30"/>
        <v>2038</v>
      </c>
      <c r="D40" s="29">
        <f t="shared" si="30"/>
        <v>2039</v>
      </c>
      <c r="E40" s="56">
        <f t="shared" ca="1" si="22"/>
        <v>0</v>
      </c>
      <c r="F40" s="56">
        <f t="shared" ca="1" si="23"/>
        <v>0</v>
      </c>
      <c r="G40" s="56">
        <f t="shared" ca="1" si="24"/>
        <v>0</v>
      </c>
      <c r="H40" s="56">
        <f t="shared" ca="1" si="25"/>
        <v>18.838557794824744</v>
      </c>
      <c r="I40" s="56">
        <f t="shared" ca="1" si="26"/>
        <v>0</v>
      </c>
      <c r="J40" s="56">
        <f t="shared" ca="1" si="27"/>
        <v>61.38367687748265</v>
      </c>
      <c r="K40" s="56">
        <f t="shared" ca="1" si="28"/>
        <v>11.291759550184038</v>
      </c>
      <c r="M40" s="56">
        <f t="shared" ca="1" si="32"/>
        <v>0.33786096450706288</v>
      </c>
      <c r="N40" s="56">
        <f t="shared" ca="1" si="33"/>
        <v>11.409832862830209</v>
      </c>
      <c r="O40" s="56">
        <f t="shared" ca="1" si="34"/>
        <v>8.4420793254407904</v>
      </c>
      <c r="P40" s="56">
        <f t="shared" ca="1" si="35"/>
        <v>8.5256254599900334</v>
      </c>
      <c r="Q40" s="56">
        <f t="shared" ca="1" si="36"/>
        <v>26.744787111473482</v>
      </c>
      <c r="R40" s="56">
        <f t="shared" ca="1" si="37"/>
        <v>52.201462890247754</v>
      </c>
      <c r="S40" s="56">
        <f t="shared" ca="1" si="38"/>
        <v>10.626220188540552</v>
      </c>
      <c r="V40" s="200" t="s">
        <v>91</v>
      </c>
      <c r="W40" s="192">
        <v>0</v>
      </c>
      <c r="X40" s="200" t="s">
        <v>91</v>
      </c>
      <c r="Y40" s="83"/>
      <c r="Z40" s="200" t="s">
        <v>91</v>
      </c>
      <c r="AA40" s="193">
        <v>10.260940611362457</v>
      </c>
      <c r="AB40" s="193">
        <v>5.6713871508836746</v>
      </c>
      <c r="AC40" s="193">
        <v>5.5437757298350334</v>
      </c>
      <c r="AD40" s="193">
        <v>5.0832354128360748</v>
      </c>
      <c r="AE40" s="193">
        <v>7.1649304032325745</v>
      </c>
      <c r="AF40" s="200" t="str">
        <f>Z40</f>
        <v>PECO</v>
      </c>
      <c r="AG40" s="83"/>
      <c r="AH40" s="83"/>
    </row>
    <row r="41" spans="2:36" ht="15" x14ac:dyDescent="0.25">
      <c r="B41" s="29">
        <f t="shared" si="30"/>
        <v>31</v>
      </c>
      <c r="C41" s="29">
        <f t="shared" si="30"/>
        <v>2039</v>
      </c>
      <c r="D41" s="29">
        <f t="shared" si="30"/>
        <v>2040</v>
      </c>
      <c r="E41" s="56">
        <f t="shared" ca="1" si="22"/>
        <v>0</v>
      </c>
      <c r="F41" s="56">
        <f t="shared" ca="1" si="23"/>
        <v>0</v>
      </c>
      <c r="G41" s="56">
        <f t="shared" ca="1" si="24"/>
        <v>0</v>
      </c>
      <c r="H41" s="56">
        <f t="shared" ca="1" si="25"/>
        <v>19.228806689647762</v>
      </c>
      <c r="I41" s="56">
        <f t="shared" ca="1" si="26"/>
        <v>0</v>
      </c>
      <c r="J41" s="56">
        <f t="shared" ca="1" si="27"/>
        <v>62.655266365516155</v>
      </c>
      <c r="K41" s="56">
        <f t="shared" ca="1" si="28"/>
        <v>11.525673246394749</v>
      </c>
      <c r="M41" s="56">
        <f t="shared" ca="1" si="32"/>
        <v>0.34485990091391144</v>
      </c>
      <c r="N41" s="56">
        <f t="shared" ca="1" si="33"/>
        <v>11.646192498919659</v>
      </c>
      <c r="O41" s="56">
        <f t="shared" ca="1" si="34"/>
        <v>8.616960659916753</v>
      </c>
      <c r="P41" s="56">
        <f t="shared" ca="1" si="35"/>
        <v>8.7022374888763476</v>
      </c>
      <c r="Q41" s="56">
        <f t="shared" ca="1" si="36"/>
        <v>27.298816975447288</v>
      </c>
      <c r="R41" s="56">
        <f t="shared" ca="1" si="37"/>
        <v>53.282838833296871</v>
      </c>
      <c r="S41" s="56">
        <f t="shared" ca="1" si="38"/>
        <v>10.846346948236732</v>
      </c>
      <c r="V41" s="200" t="s">
        <v>97</v>
      </c>
      <c r="W41" s="192">
        <v>47.995080057201598</v>
      </c>
      <c r="X41" s="200" t="s">
        <v>97</v>
      </c>
      <c r="Y41" s="83"/>
      <c r="Z41" s="200" t="s">
        <v>97</v>
      </c>
      <c r="AA41" s="193">
        <v>32.438420206308365</v>
      </c>
      <c r="AB41" s="193">
        <v>36.476239919662476</v>
      </c>
      <c r="AC41" s="193">
        <v>39.396159112453461</v>
      </c>
      <c r="AD41" s="193">
        <v>41.879006385803223</v>
      </c>
      <c r="AE41" s="193">
        <v>44.304232895374298</v>
      </c>
      <c r="AF41" s="200" t="str">
        <f t="shared" ref="AF41" si="39">Z41</f>
        <v>PPL</v>
      </c>
      <c r="AG41" s="83"/>
      <c r="AH41" s="83"/>
    </row>
    <row r="42" spans="2:36" ht="15" x14ac:dyDescent="0.25">
      <c r="B42" s="29">
        <f t="shared" si="30"/>
        <v>32</v>
      </c>
      <c r="C42" s="29">
        <f t="shared" si="30"/>
        <v>2040</v>
      </c>
      <c r="D42" s="29">
        <f t="shared" si="30"/>
        <v>2041</v>
      </c>
      <c r="E42" s="56">
        <f t="shared" ca="1" si="22"/>
        <v>0</v>
      </c>
      <c r="F42" s="56">
        <f t="shared" ca="1" si="23"/>
        <v>0</v>
      </c>
      <c r="G42" s="56">
        <f t="shared" ca="1" si="24"/>
        <v>0</v>
      </c>
      <c r="H42" s="56">
        <f t="shared" ca="1" si="25"/>
        <v>19.62713975957427</v>
      </c>
      <c r="I42" s="56">
        <f t="shared" ca="1" si="26"/>
        <v>0</v>
      </c>
      <c r="J42" s="56">
        <f t="shared" ca="1" si="27"/>
        <v>63.953197381270535</v>
      </c>
      <c r="K42" s="56">
        <f t="shared" ca="1" si="28"/>
        <v>11.76443256626861</v>
      </c>
      <c r="M42" s="56">
        <f t="shared" ca="1" si="32"/>
        <v>0.35200382332379998</v>
      </c>
      <c r="N42" s="56">
        <f t="shared" ca="1" si="33"/>
        <v>11.887448427377626</v>
      </c>
      <c r="O42" s="56">
        <f t="shared" ca="1" si="34"/>
        <v>8.7954647370807564</v>
      </c>
      <c r="P42" s="56">
        <f t="shared" ca="1" si="35"/>
        <v>8.8825081125359979</v>
      </c>
      <c r="Q42" s="56">
        <f t="shared" ca="1" si="36"/>
        <v>27.864323808330788</v>
      </c>
      <c r="R42" s="56">
        <f t="shared" ca="1" si="37"/>
        <v>54.386615947988709</v>
      </c>
      <c r="S42" s="56">
        <f t="shared" ca="1" si="38"/>
        <v>11.071033729226899</v>
      </c>
      <c r="V42" s="200" t="s">
        <v>231</v>
      </c>
      <c r="W42" s="192">
        <v>0</v>
      </c>
      <c r="X42" s="200" t="s">
        <v>85</v>
      </c>
      <c r="Y42" s="83"/>
      <c r="Z42" s="200" t="s">
        <v>232</v>
      </c>
      <c r="AA42" s="193">
        <v>0.20763701629766729</v>
      </c>
      <c r="AB42" s="193">
        <v>0.11778279328427743</v>
      </c>
      <c r="AC42" s="193">
        <v>0.18054041865980253</v>
      </c>
      <c r="AD42" s="193">
        <v>0.17797850159695372</v>
      </c>
      <c r="AE42" s="193">
        <v>0.28674811066593975</v>
      </c>
      <c r="AF42" s="200" t="s">
        <v>85</v>
      </c>
      <c r="AG42" s="83"/>
      <c r="AH42" s="83"/>
    </row>
    <row r="43" spans="2:36" ht="15" x14ac:dyDescent="0.25">
      <c r="B43" s="29">
        <f t="shared" si="30"/>
        <v>33</v>
      </c>
      <c r="C43" s="29">
        <f t="shared" si="30"/>
        <v>2041</v>
      </c>
      <c r="D43" s="29">
        <f t="shared" si="30"/>
        <v>2042</v>
      </c>
      <c r="E43" s="56">
        <f t="shared" ca="1" si="22"/>
        <v>0</v>
      </c>
      <c r="F43" s="56">
        <f t="shared" ca="1" si="23"/>
        <v>0</v>
      </c>
      <c r="G43" s="56">
        <f t="shared" ca="1" si="24"/>
        <v>0</v>
      </c>
      <c r="H43" s="56">
        <f t="shared" ca="1" si="25"/>
        <v>20.033724471797566</v>
      </c>
      <c r="I43" s="56">
        <f t="shared" ca="1" si="26"/>
        <v>0</v>
      </c>
      <c r="J43" s="56">
        <f t="shared" ca="1" si="27"/>
        <v>65.278015600916589</v>
      </c>
      <c r="K43" s="56">
        <f t="shared" ca="1" si="28"/>
        <v>12.008137889001302</v>
      </c>
      <c r="M43" s="56">
        <f t="shared" ca="1" si="32"/>
        <v>0.35929573518466051</v>
      </c>
      <c r="N43" s="56">
        <f t="shared" ca="1" si="33"/>
        <v>12.133702077023999</v>
      </c>
      <c r="O43" s="56">
        <f t="shared" ca="1" si="34"/>
        <v>8.9776666036187311</v>
      </c>
      <c r="P43" s="56">
        <f t="shared" ca="1" si="35"/>
        <v>9.0665131203464124</v>
      </c>
      <c r="Q43" s="56">
        <f t="shared" ca="1" si="36"/>
        <v>28.441545360512404</v>
      </c>
      <c r="R43" s="56">
        <f t="shared" ca="1" si="37"/>
        <v>55.513258284309018</v>
      </c>
      <c r="S43" s="56">
        <f t="shared" ca="1" si="38"/>
        <v>11.300374994329797</v>
      </c>
      <c r="V43" s="200" t="s">
        <v>233</v>
      </c>
      <c r="W43" s="192">
        <v>0</v>
      </c>
      <c r="X43" s="200" t="s">
        <v>88</v>
      </c>
      <c r="Y43" s="83"/>
      <c r="Z43" s="200" t="s">
        <v>233</v>
      </c>
      <c r="AA43" s="193">
        <v>6.6986062973737717</v>
      </c>
      <c r="AB43" s="193">
        <v>7.213163748383522</v>
      </c>
      <c r="AC43" s="193">
        <v>8.1627058982849121</v>
      </c>
      <c r="AD43" s="193">
        <v>8.6434143781661987</v>
      </c>
      <c r="AE43" s="193">
        <v>9.6837112307548523</v>
      </c>
      <c r="AF43" s="200" t="s">
        <v>88</v>
      </c>
      <c r="AG43" s="83"/>
      <c r="AH43" s="83"/>
      <c r="AJ43" s="232"/>
    </row>
    <row r="44" spans="2:36" ht="15" x14ac:dyDescent="0.25">
      <c r="B44" s="29">
        <f t="shared" si="30"/>
        <v>34</v>
      </c>
      <c r="C44" s="29">
        <f t="shared" si="30"/>
        <v>2042</v>
      </c>
      <c r="D44" s="29">
        <f t="shared" si="30"/>
        <v>2043</v>
      </c>
      <c r="E44" s="56">
        <f t="shared" ca="1" si="22"/>
        <v>0</v>
      </c>
      <c r="F44" s="56">
        <f t="shared" ca="1" si="23"/>
        <v>0</v>
      </c>
      <c r="G44" s="56">
        <f t="shared" ca="1" si="24"/>
        <v>0</v>
      </c>
      <c r="H44" s="56">
        <f t="shared" ca="1" si="25"/>
        <v>20.448731762666487</v>
      </c>
      <c r="I44" s="56">
        <f t="shared" ca="1" si="26"/>
        <v>0</v>
      </c>
      <c r="J44" s="56">
        <f t="shared" ca="1" si="27"/>
        <v>66.630278004543669</v>
      </c>
      <c r="K44" s="56">
        <f t="shared" ca="1" si="28"/>
        <v>12.256891673187081</v>
      </c>
      <c r="M44" s="56">
        <f t="shared" ca="1" si="32"/>
        <v>0.3667387021621516</v>
      </c>
      <c r="N44" s="56">
        <f t="shared" ca="1" si="33"/>
        <v>12.385056977820662</v>
      </c>
      <c r="O44" s="56">
        <f t="shared" ca="1" si="34"/>
        <v>9.1636428608412555</v>
      </c>
      <c r="P44" s="56">
        <f t="shared" ca="1" si="35"/>
        <v>9.2543298716948392</v>
      </c>
      <c r="Q44" s="56">
        <f t="shared" ca="1" si="36"/>
        <v>29.030724307482952</v>
      </c>
      <c r="R44" s="56">
        <f t="shared" ca="1" si="37"/>
        <v>56.663239505240256</v>
      </c>
      <c r="S44" s="56">
        <f t="shared" ca="1" si="38"/>
        <v>11.534467163202425</v>
      </c>
      <c r="V44" s="200" t="s">
        <v>234</v>
      </c>
      <c r="W44" s="192">
        <v>14.729617636451891</v>
      </c>
      <c r="X44" s="200" t="s">
        <v>93</v>
      </c>
      <c r="Y44" s="83"/>
      <c r="Z44" s="200" t="s">
        <v>234</v>
      </c>
      <c r="AA44" s="193">
        <v>5.7866418436169624</v>
      </c>
      <c r="AB44" s="193">
        <v>5.9728990346193314</v>
      </c>
      <c r="AC44" s="193">
        <v>6.2364486157894135</v>
      </c>
      <c r="AD44" s="193">
        <v>6.5808972865343094</v>
      </c>
      <c r="AE44" s="193">
        <v>7.2358373701572418</v>
      </c>
      <c r="AF44" s="200" t="s">
        <v>93</v>
      </c>
      <c r="AG44" s="83"/>
      <c r="AH44" s="83"/>
    </row>
    <row r="45" spans="2:36" ht="15" x14ac:dyDescent="0.25">
      <c r="B45" s="29">
        <f t="shared" si="30"/>
        <v>35</v>
      </c>
      <c r="C45" s="29">
        <f t="shared" si="30"/>
        <v>2043</v>
      </c>
      <c r="D45" s="29">
        <f t="shared" si="30"/>
        <v>2044</v>
      </c>
      <c r="E45" s="56">
        <f t="shared" ca="1" si="22"/>
        <v>0</v>
      </c>
      <c r="F45" s="56">
        <f t="shared" ca="1" si="23"/>
        <v>0</v>
      </c>
      <c r="G45" s="56">
        <f t="shared" ca="1" si="24"/>
        <v>0</v>
      </c>
      <c r="H45" s="56">
        <f t="shared" ca="1" si="25"/>
        <v>20.872336109550471</v>
      </c>
      <c r="I45" s="56">
        <f t="shared" ca="1" si="26"/>
        <v>0</v>
      </c>
      <c r="J45" s="56">
        <f t="shared" ca="1" si="27"/>
        <v>68.010553110325219</v>
      </c>
      <c r="K45" s="56">
        <f t="shared" ca="1" si="28"/>
        <v>12.510798499894417</v>
      </c>
      <c r="M45" s="56">
        <f t="shared" ca="1" si="32"/>
        <v>0.37433585342852532</v>
      </c>
      <c r="N45" s="56">
        <f t="shared" ca="1" si="33"/>
        <v>12.641618804397556</v>
      </c>
      <c r="O45" s="56">
        <f t="shared" ca="1" si="34"/>
        <v>9.3534716968882776</v>
      </c>
      <c r="P45" s="56">
        <f t="shared" ca="1" si="35"/>
        <v>9.4460373285017862</v>
      </c>
      <c r="Q45" s="56">
        <f t="shared" ca="1" si="36"/>
        <v>29.632108351861298</v>
      </c>
      <c r="R45" s="56">
        <f t="shared" ca="1" si="37"/>
        <v>57.837043085898998</v>
      </c>
      <c r="S45" s="56">
        <f t="shared" ca="1" si="38"/>
        <v>11.773408652876794</v>
      </c>
      <c r="V45" s="200" t="s">
        <v>235</v>
      </c>
      <c r="W45" s="192">
        <v>0</v>
      </c>
      <c r="X45" s="200" t="s">
        <v>95</v>
      </c>
      <c r="Y45" s="83"/>
      <c r="Z45" s="200" t="s">
        <v>235</v>
      </c>
      <c r="AA45" s="193">
        <v>16.268832236528397</v>
      </c>
      <c r="AB45" s="193">
        <v>16.763737365603447</v>
      </c>
      <c r="AC45" s="193">
        <v>19.332805186510086</v>
      </c>
      <c r="AD45" s="193">
        <v>20.573377847671509</v>
      </c>
      <c r="AE45" s="193">
        <v>22.698736995458603</v>
      </c>
      <c r="AF45" s="200" t="s">
        <v>95</v>
      </c>
      <c r="AG45" s="83"/>
      <c r="AH45" s="83"/>
    </row>
    <row r="46" spans="2:36" ht="15" x14ac:dyDescent="0.25">
      <c r="B46" s="29">
        <f t="shared" ref="B46:D47" si="40">B45+1</f>
        <v>36</v>
      </c>
      <c r="C46" s="29">
        <f t="shared" si="40"/>
        <v>2044</v>
      </c>
      <c r="D46" s="29">
        <f t="shared" si="40"/>
        <v>2045</v>
      </c>
      <c r="E46" s="56">
        <f t="shared" ca="1" si="22"/>
        <v>0</v>
      </c>
      <c r="F46" s="56">
        <f t="shared" ca="1" si="23"/>
        <v>0</v>
      </c>
      <c r="G46" s="56">
        <f t="shared" ca="1" si="24"/>
        <v>0</v>
      </c>
      <c r="H46" s="56">
        <f t="shared" ca="1" si="25"/>
        <v>21.30471560419333</v>
      </c>
      <c r="I46" s="56">
        <f t="shared" ca="1" si="26"/>
        <v>0</v>
      </c>
      <c r="J46" s="56">
        <f t="shared" ca="1" si="27"/>
        <v>69.419421213535216</v>
      </c>
      <c r="K46" s="56">
        <f t="shared" ca="1" si="28"/>
        <v>12.769965116633969</v>
      </c>
      <c r="M46" s="56">
        <f t="shared" ca="1" si="32"/>
        <v>0.3820903829781942</v>
      </c>
      <c r="N46" s="56">
        <f t="shared" ca="1" si="33"/>
        <v>12.903495420480413</v>
      </c>
      <c r="O46" s="56">
        <f t="shared" ca="1" si="34"/>
        <v>9.5472329196009724</v>
      </c>
      <c r="P46" s="56">
        <f t="shared" ca="1" si="35"/>
        <v>9.6417160884181889</v>
      </c>
      <c r="Q46" s="56">
        <f t="shared" ca="1" si="36"/>
        <v>30.245950327533478</v>
      </c>
      <c r="R46" s="56">
        <f t="shared" ca="1" si="37"/>
        <v>59.035162516798529</v>
      </c>
      <c r="S46" s="56">
        <f t="shared" ca="1" si="38"/>
        <v>12.017299919136418</v>
      </c>
      <c r="V46" s="200" t="s">
        <v>236</v>
      </c>
      <c r="W46" s="192">
        <v>8.8288765216760154</v>
      </c>
      <c r="X46" s="200" t="s">
        <v>66</v>
      </c>
      <c r="Y46" s="83"/>
      <c r="Z46" s="200" t="s">
        <v>236</v>
      </c>
      <c r="AA46" s="193">
        <v>5.0498091280460358</v>
      </c>
      <c r="AB46" s="193">
        <v>6.0599454417824745</v>
      </c>
      <c r="AC46" s="193">
        <v>7.0145137757062912</v>
      </c>
      <c r="AD46" s="193">
        <v>7.9289728403091431</v>
      </c>
      <c r="AE46" s="193">
        <v>9.0186463743448257</v>
      </c>
      <c r="AF46" s="200" t="s">
        <v>66</v>
      </c>
      <c r="AG46" s="83"/>
      <c r="AH46" s="83"/>
    </row>
    <row r="47" spans="2:36" x14ac:dyDescent="0.2">
      <c r="B47" s="29">
        <f t="shared" si="40"/>
        <v>37</v>
      </c>
      <c r="C47" s="29">
        <f>C46+1</f>
        <v>2045</v>
      </c>
      <c r="D47" s="29">
        <f t="shared" si="40"/>
        <v>2046</v>
      </c>
      <c r="E47" s="56">
        <f t="shared" ca="1" si="22"/>
        <v>0</v>
      </c>
      <c r="F47" s="56">
        <f t="shared" ca="1" si="23"/>
        <v>0</v>
      </c>
      <c r="G47" s="56">
        <f t="shared" ca="1" si="24"/>
        <v>0</v>
      </c>
      <c r="H47" s="56">
        <f t="shared" ca="1" si="25"/>
        <v>21.74605202758659</v>
      </c>
      <c r="I47" s="56">
        <f t="shared" ca="1" si="26"/>
        <v>0</v>
      </c>
      <c r="J47" s="56">
        <f t="shared" ca="1" si="27"/>
        <v>70.857474630515895</v>
      </c>
      <c r="K47" s="56">
        <f t="shared" ca="1" si="28"/>
        <v>13.034500482237377</v>
      </c>
      <c r="M47" s="56">
        <f t="shared" ca="1" si="32"/>
        <v>0.39000555097055012</v>
      </c>
      <c r="N47" s="56">
        <f t="shared" ca="1" si="33"/>
        <v>13.170796924238822</v>
      </c>
      <c r="O47" s="56">
        <f t="shared" ca="1" si="34"/>
        <v>9.7450079900745603</v>
      </c>
      <c r="P47" s="56">
        <f t="shared" ca="1" si="35"/>
        <v>9.8414484187102751</v>
      </c>
      <c r="Q47" s="56">
        <f t="shared" ca="1" si="36"/>
        <v>30.872508305949133</v>
      </c>
      <c r="R47" s="56">
        <f t="shared" ca="1" si="37"/>
        <v>60.258101511322138</v>
      </c>
      <c r="S47" s="56">
        <f t="shared" ca="1" si="38"/>
        <v>12.266243498749931</v>
      </c>
      <c r="V47" s="50"/>
      <c r="W47" s="50"/>
      <c r="Z47" s="50"/>
      <c r="AA47" s="50"/>
      <c r="AB47" s="50"/>
      <c r="AC47" s="50"/>
      <c r="AD47" s="50"/>
      <c r="AE47" s="50"/>
      <c r="AF47" s="50"/>
    </row>
    <row r="48" spans="2:36" s="50" customForma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sheetData>
  <mergeCells count="8">
    <mergeCell ref="V28:X28"/>
    <mergeCell ref="V38:X38"/>
    <mergeCell ref="Z28:AF28"/>
    <mergeCell ref="Z38:AF38"/>
    <mergeCell ref="B2:K2"/>
    <mergeCell ref="M2:S2"/>
    <mergeCell ref="B26:K26"/>
    <mergeCell ref="M26:S2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E08CB-9136-4FB9-827A-470EB570A88D}">
  <sheetPr codeName="Sheet11">
    <tabColor theme="7"/>
  </sheetPr>
  <dimension ref="A1:AZ110"/>
  <sheetViews>
    <sheetView zoomScale="80" zoomScaleNormal="80" workbookViewId="0">
      <selection activeCell="F24" sqref="F24"/>
    </sheetView>
  </sheetViews>
  <sheetFormatPr defaultColWidth="9.140625" defaultRowHeight="12.75" x14ac:dyDescent="0.2"/>
  <cols>
    <col min="1" max="1" width="3.85546875" style="2" customWidth="1"/>
    <col min="2" max="2" width="30.85546875" style="2" customWidth="1"/>
    <col min="3" max="7" width="9.140625" style="2"/>
    <col min="8" max="8" width="5.85546875" style="2" customWidth="1"/>
    <col min="9" max="12" width="13.140625" style="2" customWidth="1"/>
    <col min="13" max="13" width="9.140625" style="2"/>
    <col min="14" max="15" width="9.140625" style="50"/>
    <col min="16" max="16" width="12.42578125" style="2" bestFit="1" customWidth="1"/>
    <col min="17" max="19" width="9.140625" style="2"/>
    <col min="20" max="52" width="9.140625" style="50"/>
    <col min="53" max="16384" width="9.140625" style="2"/>
  </cols>
  <sheetData>
    <row r="1" spans="1:19" s="50" customFormat="1" ht="21" customHeight="1" thickBot="1" x14ac:dyDescent="0.35">
      <c r="A1" s="366" t="s">
        <v>239</v>
      </c>
      <c r="B1" s="367"/>
      <c r="C1" s="367"/>
      <c r="D1" s="367"/>
      <c r="E1" s="367"/>
      <c r="F1" s="367"/>
      <c r="G1" s="367"/>
      <c r="H1" s="368"/>
    </row>
    <row r="2" spans="1:19" s="50" customFormat="1" x14ac:dyDescent="0.2"/>
    <row r="3" spans="1:19" x14ac:dyDescent="0.2">
      <c r="A3" s="50"/>
      <c r="B3" s="4" t="s">
        <v>120</v>
      </c>
      <c r="C3" s="91">
        <v>2026</v>
      </c>
      <c r="D3" s="50"/>
      <c r="E3" s="50"/>
      <c r="F3" s="50"/>
      <c r="G3" s="50"/>
      <c r="H3" s="50"/>
      <c r="I3" s="50"/>
      <c r="J3" s="50"/>
      <c r="K3" s="50"/>
      <c r="L3" s="50"/>
      <c r="M3" s="50"/>
      <c r="P3" s="50"/>
      <c r="Q3" s="50"/>
      <c r="R3" s="50"/>
      <c r="S3" s="50"/>
    </row>
    <row r="4" spans="1:19" x14ac:dyDescent="0.2">
      <c r="A4" s="50"/>
      <c r="B4" s="4" t="s">
        <v>240</v>
      </c>
      <c r="C4" s="184">
        <v>1000</v>
      </c>
      <c r="D4" s="50"/>
      <c r="E4" s="50"/>
      <c r="F4" s="50"/>
      <c r="G4" s="50"/>
      <c r="H4" s="50"/>
      <c r="I4" s="183"/>
      <c r="J4" s="50"/>
      <c r="K4" s="50"/>
      <c r="L4" s="50"/>
      <c r="M4" s="50"/>
      <c r="P4" s="50"/>
      <c r="Q4" s="50"/>
      <c r="R4" s="50"/>
      <c r="S4" s="50"/>
    </row>
    <row r="5" spans="1:19" ht="15" customHeight="1" x14ac:dyDescent="0.2">
      <c r="A5" s="50"/>
      <c r="B5" s="50"/>
      <c r="C5" s="50"/>
      <c r="D5" s="50"/>
      <c r="E5" s="50"/>
      <c r="F5" s="50"/>
      <c r="G5" s="50"/>
      <c r="H5" s="50"/>
      <c r="I5" s="294" t="s">
        <v>241</v>
      </c>
      <c r="J5" s="294"/>
      <c r="K5" s="294"/>
      <c r="L5" s="294"/>
      <c r="M5" s="294"/>
      <c r="P5" s="50"/>
      <c r="Q5" s="50"/>
      <c r="R5" s="50"/>
      <c r="S5" s="50"/>
    </row>
    <row r="6" spans="1:19" ht="26.25" customHeight="1" x14ac:dyDescent="0.2">
      <c r="A6" s="50"/>
      <c r="B6" s="4" t="s">
        <v>242</v>
      </c>
      <c r="C6" s="4" t="s">
        <v>243</v>
      </c>
      <c r="D6" s="4" t="s">
        <v>244</v>
      </c>
      <c r="E6" s="52"/>
      <c r="F6" s="4" t="s">
        <v>245</v>
      </c>
      <c r="G6" s="4" t="s">
        <v>246</v>
      </c>
      <c r="H6" s="51"/>
      <c r="I6" s="371" t="s">
        <v>247</v>
      </c>
      <c r="J6" s="371" t="s">
        <v>248</v>
      </c>
      <c r="K6" s="365" t="s">
        <v>249</v>
      </c>
      <c r="L6" s="365" t="s">
        <v>250</v>
      </c>
      <c r="M6" s="365" t="s">
        <v>251</v>
      </c>
      <c r="P6" s="50"/>
      <c r="Q6" s="50"/>
      <c r="R6" s="50"/>
      <c r="S6" s="50"/>
    </row>
    <row r="7" spans="1:19" ht="15.75" customHeight="1" x14ac:dyDescent="0.2">
      <c r="A7" s="50"/>
      <c r="B7" s="4" t="s">
        <v>252</v>
      </c>
      <c r="C7" s="49">
        <v>5.0000000000000001E-3</v>
      </c>
      <c r="D7" s="45">
        <f>AVERAGEIFS(M8:M11,J8:J11,$C$3)</f>
        <v>37.25</v>
      </c>
      <c r="E7" s="50"/>
      <c r="F7" s="29">
        <f>$C$4*C7</f>
        <v>5</v>
      </c>
      <c r="G7" s="46">
        <f>D7*F7</f>
        <v>186.25</v>
      </c>
      <c r="H7" s="50"/>
      <c r="I7" s="372"/>
      <c r="J7" s="372"/>
      <c r="K7" s="365"/>
      <c r="L7" s="365"/>
      <c r="M7" s="365"/>
      <c r="P7" s="282" t="s">
        <v>253</v>
      </c>
      <c r="Q7" s="282" t="s">
        <v>68</v>
      </c>
      <c r="R7" s="282" t="s">
        <v>254</v>
      </c>
      <c r="S7" s="288" t="s">
        <v>255</v>
      </c>
    </row>
    <row r="8" spans="1:19" x14ac:dyDescent="0.2">
      <c r="A8" s="50"/>
      <c r="B8" s="4" t="s">
        <v>256</v>
      </c>
      <c r="C8" s="49">
        <v>0.08</v>
      </c>
      <c r="D8" s="45">
        <f>AVERAGEIFS(M12:M15,J12:J15,$C$3)</f>
        <v>34.200000000000003</v>
      </c>
      <c r="E8" s="50"/>
      <c r="F8" s="29">
        <f t="shared" ref="F8:F9" si="0">$C$4*C8</f>
        <v>80</v>
      </c>
      <c r="G8" s="46">
        <f>D8*F8</f>
        <v>2736</v>
      </c>
      <c r="H8" s="50"/>
      <c r="I8" s="370" t="s">
        <v>257</v>
      </c>
      <c r="J8" s="210">
        <v>2024</v>
      </c>
      <c r="K8" s="211">
        <v>34.5</v>
      </c>
      <c r="L8" s="211">
        <v>35.5</v>
      </c>
      <c r="M8" s="212">
        <f>AVERAGE(K8:L8)</f>
        <v>35</v>
      </c>
      <c r="P8" s="35">
        <f>Start_Year_PY</f>
        <v>18</v>
      </c>
      <c r="Q8" s="35">
        <f>Start_Year</f>
        <v>2027</v>
      </c>
      <c r="R8" s="35">
        <f>Start_Year+1</f>
        <v>2028</v>
      </c>
      <c r="S8" s="36">
        <f t="shared" ref="S8:S37" si="1">IFERROR($B$15*(1+Inflation_Rate)^(R8-Start_Year-1), "Data Missing")</f>
        <v>6.8847500000000004</v>
      </c>
    </row>
    <row r="9" spans="1:19" ht="15" customHeight="1" x14ac:dyDescent="0.2">
      <c r="A9" s="50"/>
      <c r="B9" s="4" t="s">
        <v>258</v>
      </c>
      <c r="C9" s="49">
        <v>0.1</v>
      </c>
      <c r="D9" s="45">
        <f>AVERAGEIFS(M16:M19,J16:J19,$C$3)</f>
        <v>39.625</v>
      </c>
      <c r="E9" s="50"/>
      <c r="F9" s="29">
        <f t="shared" si="0"/>
        <v>100</v>
      </c>
      <c r="G9" s="46">
        <f>D9*F9</f>
        <v>3962.5</v>
      </c>
      <c r="H9" s="50"/>
      <c r="I9" s="370"/>
      <c r="J9" s="210">
        <v>2025</v>
      </c>
      <c r="K9" s="211">
        <v>37</v>
      </c>
      <c r="L9" s="211">
        <v>38</v>
      </c>
      <c r="M9" s="212">
        <f t="shared" ref="M9:M19" si="2">AVERAGE(K9:L9)</f>
        <v>37.5</v>
      </c>
      <c r="P9" s="35">
        <f>P8+1</f>
        <v>19</v>
      </c>
      <c r="Q9" s="35">
        <f>Q8+1</f>
        <v>2028</v>
      </c>
      <c r="R9" s="35">
        <f>R8+1</f>
        <v>2029</v>
      </c>
      <c r="S9" s="36">
        <f t="shared" si="1"/>
        <v>7.0224450000000003</v>
      </c>
    </row>
    <row r="10" spans="1:19" ht="15.75" customHeight="1" x14ac:dyDescent="0.2">
      <c r="A10" s="50"/>
      <c r="B10" s="50"/>
      <c r="C10" s="50"/>
      <c r="D10" s="50"/>
      <c r="E10" s="4" t="s">
        <v>259</v>
      </c>
      <c r="F10" s="47">
        <f>SUM(C7:C9)*$C$4</f>
        <v>185</v>
      </c>
      <c r="G10" s="48">
        <f>F10*B12</f>
        <v>6884.75</v>
      </c>
      <c r="H10" s="50"/>
      <c r="I10" s="370"/>
      <c r="J10" s="210">
        <v>2026</v>
      </c>
      <c r="K10" s="211">
        <v>36.75</v>
      </c>
      <c r="L10" s="211">
        <v>37.75</v>
      </c>
      <c r="M10" s="212">
        <f t="shared" si="2"/>
        <v>37.25</v>
      </c>
      <c r="P10" s="35">
        <f t="shared" ref="P10:P37" si="3">P9+1</f>
        <v>20</v>
      </c>
      <c r="Q10" s="35">
        <f t="shared" ref="Q10:Q37" si="4">Q9+1</f>
        <v>2029</v>
      </c>
      <c r="R10" s="35">
        <f t="shared" ref="R10:R37" si="5">R9+1</f>
        <v>2030</v>
      </c>
      <c r="S10" s="36">
        <f t="shared" si="1"/>
        <v>7.1628939000000003</v>
      </c>
    </row>
    <row r="11" spans="1:19" ht="15" customHeight="1" x14ac:dyDescent="0.2">
      <c r="A11" s="50"/>
      <c r="B11" s="4" t="s">
        <v>260</v>
      </c>
      <c r="C11" s="50"/>
      <c r="D11" s="50"/>
      <c r="E11" s="50"/>
      <c r="F11" s="50"/>
      <c r="G11" s="50"/>
      <c r="H11" s="50"/>
      <c r="I11" s="370"/>
      <c r="J11" s="210">
        <v>2027</v>
      </c>
      <c r="K11" s="211">
        <v>36.5</v>
      </c>
      <c r="L11" s="211">
        <v>37.5</v>
      </c>
      <c r="M11" s="212">
        <f t="shared" si="2"/>
        <v>37</v>
      </c>
      <c r="P11" s="35">
        <f t="shared" si="3"/>
        <v>21</v>
      </c>
      <c r="Q11" s="35">
        <f t="shared" si="4"/>
        <v>2030</v>
      </c>
      <c r="R11" s="35">
        <f t="shared" si="5"/>
        <v>2031</v>
      </c>
      <c r="S11" s="36">
        <f t="shared" si="1"/>
        <v>7.3061517780000003</v>
      </c>
    </row>
    <row r="12" spans="1:19" ht="15.75" customHeight="1" x14ac:dyDescent="0.2">
      <c r="A12" s="50"/>
      <c r="B12" s="45">
        <f>(D7*C7+C8*D8+C9*D9)/SUM(C7:C9)</f>
        <v>37.214864864864865</v>
      </c>
      <c r="C12" s="50"/>
      <c r="D12" s="50"/>
      <c r="E12" s="50"/>
      <c r="F12" s="50"/>
      <c r="G12" s="50"/>
      <c r="H12" s="50"/>
      <c r="I12" s="370" t="s">
        <v>256</v>
      </c>
      <c r="J12" s="210">
        <v>2023</v>
      </c>
      <c r="K12" s="211">
        <v>34.549999999999997</v>
      </c>
      <c r="L12" s="211">
        <v>35.049999999999997</v>
      </c>
      <c r="M12" s="212">
        <f t="shared" si="2"/>
        <v>34.799999999999997</v>
      </c>
      <c r="P12" s="35">
        <f t="shared" si="3"/>
        <v>22</v>
      </c>
      <c r="Q12" s="35">
        <f t="shared" si="4"/>
        <v>2031</v>
      </c>
      <c r="R12" s="35">
        <f t="shared" si="5"/>
        <v>2032</v>
      </c>
      <c r="S12" s="36">
        <f t="shared" si="1"/>
        <v>7.4522748135599999</v>
      </c>
    </row>
    <row r="13" spans="1:19" x14ac:dyDescent="0.2">
      <c r="A13" s="50"/>
      <c r="B13" s="50"/>
      <c r="C13" s="50"/>
      <c r="D13" s="50"/>
      <c r="E13" s="50"/>
      <c r="F13" s="50"/>
      <c r="G13" s="50"/>
      <c r="H13" s="50"/>
      <c r="I13" s="370"/>
      <c r="J13" s="210">
        <v>2024</v>
      </c>
      <c r="K13" s="211">
        <v>34.5</v>
      </c>
      <c r="L13" s="211">
        <v>35</v>
      </c>
      <c r="M13" s="212">
        <f t="shared" si="2"/>
        <v>34.75</v>
      </c>
      <c r="P13" s="35">
        <f t="shared" si="3"/>
        <v>23</v>
      </c>
      <c r="Q13" s="35">
        <f t="shared" si="4"/>
        <v>2032</v>
      </c>
      <c r="R13" s="35">
        <f t="shared" si="5"/>
        <v>2033</v>
      </c>
      <c r="S13" s="36">
        <f t="shared" si="1"/>
        <v>7.6013203098312001</v>
      </c>
    </row>
    <row r="14" spans="1:19" ht="15.75" customHeight="1" x14ac:dyDescent="0.2">
      <c r="A14" s="50"/>
      <c r="B14" s="4" t="s">
        <v>261</v>
      </c>
      <c r="C14" s="50"/>
      <c r="D14" s="50"/>
      <c r="E14" s="50"/>
      <c r="F14" s="50"/>
      <c r="G14" s="50"/>
      <c r="H14" s="50"/>
      <c r="I14" s="370"/>
      <c r="J14" s="210">
        <v>2025</v>
      </c>
      <c r="K14" s="211">
        <v>34.549999999999997</v>
      </c>
      <c r="L14" s="211">
        <v>35.049999999999997</v>
      </c>
      <c r="M14" s="212">
        <f t="shared" si="2"/>
        <v>34.799999999999997</v>
      </c>
      <c r="P14" s="35">
        <f t="shared" si="3"/>
        <v>24</v>
      </c>
      <c r="Q14" s="35">
        <f t="shared" si="4"/>
        <v>2033</v>
      </c>
      <c r="R14" s="35">
        <f t="shared" si="5"/>
        <v>2034</v>
      </c>
      <c r="S14" s="36">
        <f t="shared" si="1"/>
        <v>7.7533467160278251</v>
      </c>
    </row>
    <row r="15" spans="1:19" ht="15" customHeight="1" x14ac:dyDescent="0.2">
      <c r="A15" s="50"/>
      <c r="B15" s="45">
        <f>B12*F10/C4</f>
        <v>6.8847500000000004</v>
      </c>
      <c r="C15" s="86"/>
      <c r="D15" s="50"/>
      <c r="E15" s="50"/>
      <c r="F15" s="50"/>
      <c r="G15" s="50"/>
      <c r="H15" s="50"/>
      <c r="I15" s="370"/>
      <c r="J15" s="210">
        <v>2026</v>
      </c>
      <c r="K15" s="211">
        <v>33.950000000000003</v>
      </c>
      <c r="L15" s="211">
        <v>34.450000000000003</v>
      </c>
      <c r="M15" s="212">
        <f t="shared" si="2"/>
        <v>34.200000000000003</v>
      </c>
      <c r="P15" s="35">
        <f t="shared" si="3"/>
        <v>25</v>
      </c>
      <c r="Q15" s="35">
        <f t="shared" si="4"/>
        <v>2034</v>
      </c>
      <c r="R15" s="35">
        <f t="shared" si="5"/>
        <v>2035</v>
      </c>
      <c r="S15" s="36">
        <f t="shared" si="1"/>
        <v>7.90841365034838</v>
      </c>
    </row>
    <row r="16" spans="1:19" ht="15.75" customHeight="1" x14ac:dyDescent="0.2">
      <c r="A16" s="50"/>
      <c r="B16" s="50"/>
      <c r="C16" s="50"/>
      <c r="D16" s="50"/>
      <c r="E16" s="50"/>
      <c r="F16" s="50"/>
      <c r="G16" s="50"/>
      <c r="H16" s="50"/>
      <c r="I16" s="369" t="s">
        <v>258</v>
      </c>
      <c r="J16" s="210">
        <v>2023</v>
      </c>
      <c r="K16" s="211">
        <v>33.5</v>
      </c>
      <c r="L16" s="211">
        <v>34.25</v>
      </c>
      <c r="M16" s="212">
        <f>AVERAGE(K16:L16)</f>
        <v>33.875</v>
      </c>
      <c r="P16" s="35">
        <f t="shared" si="3"/>
        <v>26</v>
      </c>
      <c r="Q16" s="35">
        <f t="shared" si="4"/>
        <v>2035</v>
      </c>
      <c r="R16" s="35">
        <f t="shared" si="5"/>
        <v>2036</v>
      </c>
      <c r="S16" s="36">
        <f t="shared" si="1"/>
        <v>8.0665819233553488</v>
      </c>
    </row>
    <row r="17" spans="1:19" x14ac:dyDescent="0.2">
      <c r="A17" s="50"/>
      <c r="B17" s="84"/>
      <c r="C17" s="50"/>
      <c r="D17" s="50"/>
      <c r="E17" s="50"/>
      <c r="F17" s="50"/>
      <c r="G17" s="50"/>
      <c r="H17" s="50"/>
      <c r="I17" s="369"/>
      <c r="J17" s="210">
        <v>2024</v>
      </c>
      <c r="K17" s="211">
        <v>35</v>
      </c>
      <c r="L17" s="211">
        <v>35.75</v>
      </c>
      <c r="M17" s="212">
        <f t="shared" si="2"/>
        <v>35.375</v>
      </c>
      <c r="P17" s="35">
        <f t="shared" si="3"/>
        <v>27</v>
      </c>
      <c r="Q17" s="35">
        <f t="shared" si="4"/>
        <v>2036</v>
      </c>
      <c r="R17" s="35">
        <f t="shared" si="5"/>
        <v>2037</v>
      </c>
      <c r="S17" s="36">
        <f t="shared" si="1"/>
        <v>8.2279135618224544</v>
      </c>
    </row>
    <row r="18" spans="1:19" ht="15.75" customHeight="1" x14ac:dyDescent="0.2">
      <c r="A18" s="50"/>
      <c r="B18" s="182"/>
      <c r="C18" s="50"/>
      <c r="D18" s="50"/>
      <c r="E18" s="50"/>
      <c r="F18" s="50"/>
      <c r="G18" s="50"/>
      <c r="H18" s="50"/>
      <c r="I18" s="369"/>
      <c r="J18" s="210">
        <v>2025</v>
      </c>
      <c r="K18" s="211">
        <v>38.5</v>
      </c>
      <c r="L18" s="211">
        <v>39.25</v>
      </c>
      <c r="M18" s="212">
        <f t="shared" si="2"/>
        <v>38.875</v>
      </c>
      <c r="P18" s="35">
        <f t="shared" si="3"/>
        <v>28</v>
      </c>
      <c r="Q18" s="35">
        <f t="shared" si="4"/>
        <v>2037</v>
      </c>
      <c r="R18" s="35">
        <f t="shared" si="5"/>
        <v>2038</v>
      </c>
      <c r="S18" s="36">
        <f t="shared" si="1"/>
        <v>8.3924718330589041</v>
      </c>
    </row>
    <row r="19" spans="1:19" ht="15" customHeight="1" x14ac:dyDescent="0.2">
      <c r="A19" s="50"/>
      <c r="B19" s="50"/>
      <c r="C19" s="50"/>
      <c r="D19" s="50"/>
      <c r="E19" s="50"/>
      <c r="F19" s="50"/>
      <c r="G19" s="50"/>
      <c r="H19" s="50"/>
      <c r="I19" s="369"/>
      <c r="J19" s="210">
        <v>2026</v>
      </c>
      <c r="K19" s="211">
        <v>39.25</v>
      </c>
      <c r="L19" s="211">
        <v>40</v>
      </c>
      <c r="M19" s="212">
        <f t="shared" si="2"/>
        <v>39.625</v>
      </c>
      <c r="P19" s="35">
        <f t="shared" si="3"/>
        <v>29</v>
      </c>
      <c r="Q19" s="35">
        <f t="shared" si="4"/>
        <v>2038</v>
      </c>
      <c r="R19" s="35">
        <f t="shared" si="5"/>
        <v>2039</v>
      </c>
      <c r="S19" s="36">
        <f t="shared" si="1"/>
        <v>8.560321269720081</v>
      </c>
    </row>
    <row r="20" spans="1:19" ht="15.75" customHeight="1" x14ac:dyDescent="0.2">
      <c r="A20" s="50"/>
      <c r="B20" s="50"/>
      <c r="C20" s="50"/>
      <c r="D20" s="50"/>
      <c r="E20" s="50"/>
      <c r="F20" s="50"/>
      <c r="G20" s="50"/>
      <c r="H20" s="50"/>
      <c r="I20" s="50"/>
      <c r="J20" s="50"/>
      <c r="K20" s="50"/>
      <c r="L20" s="50"/>
      <c r="M20" s="50"/>
      <c r="P20" s="35">
        <f t="shared" si="3"/>
        <v>30</v>
      </c>
      <c r="Q20" s="35">
        <f t="shared" si="4"/>
        <v>2039</v>
      </c>
      <c r="R20" s="35">
        <f t="shared" si="5"/>
        <v>2040</v>
      </c>
      <c r="S20" s="36">
        <f t="shared" si="1"/>
        <v>8.7315276951144831</v>
      </c>
    </row>
    <row r="21" spans="1:19" x14ac:dyDescent="0.2">
      <c r="A21" s="50"/>
      <c r="B21" s="50"/>
      <c r="C21" s="50"/>
      <c r="D21" s="50"/>
      <c r="E21" s="50"/>
      <c r="F21" s="50"/>
      <c r="G21" s="50"/>
      <c r="H21" s="50"/>
      <c r="I21" s="50"/>
      <c r="J21" s="50"/>
      <c r="K21" s="50"/>
      <c r="L21" s="50"/>
      <c r="M21" s="50"/>
      <c r="P21" s="35">
        <f t="shared" si="3"/>
        <v>31</v>
      </c>
      <c r="Q21" s="35">
        <f t="shared" si="4"/>
        <v>2040</v>
      </c>
      <c r="R21" s="35">
        <f t="shared" si="5"/>
        <v>2041</v>
      </c>
      <c r="S21" s="36">
        <f t="shared" si="1"/>
        <v>8.906158249016773</v>
      </c>
    </row>
    <row r="22" spans="1:19" x14ac:dyDescent="0.2">
      <c r="A22" s="50"/>
      <c r="B22" s="50"/>
      <c r="C22" s="50"/>
      <c r="D22" s="50"/>
      <c r="E22" s="50"/>
      <c r="F22" s="50"/>
      <c r="G22" s="50"/>
      <c r="H22" s="50"/>
      <c r="I22" s="50"/>
      <c r="J22" s="50"/>
      <c r="K22" s="50"/>
      <c r="L22" s="50"/>
      <c r="M22" s="50"/>
      <c r="P22" s="35">
        <f t="shared" si="3"/>
        <v>32</v>
      </c>
      <c r="Q22" s="35">
        <f t="shared" si="4"/>
        <v>2041</v>
      </c>
      <c r="R22" s="35">
        <f t="shared" si="5"/>
        <v>2042</v>
      </c>
      <c r="S22" s="36">
        <f t="shared" si="1"/>
        <v>9.0842814139971093</v>
      </c>
    </row>
    <row r="23" spans="1:19" x14ac:dyDescent="0.2">
      <c r="A23" s="50"/>
      <c r="B23" s="50"/>
      <c r="C23" s="50"/>
      <c r="D23" s="50"/>
      <c r="E23" s="50"/>
      <c r="F23" s="50"/>
      <c r="G23" s="50"/>
      <c r="H23" s="50"/>
      <c r="I23" s="50"/>
      <c r="J23" s="50"/>
      <c r="K23" s="50"/>
      <c r="L23" s="50"/>
      <c r="M23" s="50"/>
      <c r="P23" s="35">
        <f t="shared" si="3"/>
        <v>33</v>
      </c>
      <c r="Q23" s="35">
        <f t="shared" si="4"/>
        <v>2042</v>
      </c>
      <c r="R23" s="35">
        <f t="shared" si="5"/>
        <v>2043</v>
      </c>
      <c r="S23" s="36">
        <f t="shared" si="1"/>
        <v>9.2659670422770493</v>
      </c>
    </row>
    <row r="24" spans="1:19" x14ac:dyDescent="0.2">
      <c r="A24" s="50"/>
      <c r="B24" s="50"/>
      <c r="C24" s="50"/>
      <c r="D24" s="50"/>
      <c r="E24" s="50"/>
      <c r="F24" s="50"/>
      <c r="G24" s="50"/>
      <c r="H24" s="50"/>
      <c r="I24" s="50"/>
      <c r="J24" s="50"/>
      <c r="K24" s="50"/>
      <c r="L24" s="50"/>
      <c r="M24" s="50"/>
      <c r="P24" s="35">
        <f t="shared" si="3"/>
        <v>34</v>
      </c>
      <c r="Q24" s="35">
        <f t="shared" si="4"/>
        <v>2043</v>
      </c>
      <c r="R24" s="35">
        <f t="shared" si="5"/>
        <v>2044</v>
      </c>
      <c r="S24" s="36">
        <f t="shared" si="1"/>
        <v>9.4512863831225911</v>
      </c>
    </row>
    <row r="25" spans="1:19" x14ac:dyDescent="0.2">
      <c r="A25" s="50"/>
      <c r="B25" s="50"/>
      <c r="C25" s="50"/>
      <c r="D25" s="50"/>
      <c r="E25" s="50"/>
      <c r="F25" s="50"/>
      <c r="G25" s="50"/>
      <c r="H25" s="50"/>
      <c r="I25" s="50"/>
      <c r="J25" s="50"/>
      <c r="K25" s="50"/>
      <c r="L25" s="50"/>
      <c r="M25" s="50"/>
      <c r="P25" s="35">
        <f t="shared" si="3"/>
        <v>35</v>
      </c>
      <c r="Q25" s="35">
        <f t="shared" si="4"/>
        <v>2044</v>
      </c>
      <c r="R25" s="35">
        <f t="shared" si="5"/>
        <v>2045</v>
      </c>
      <c r="S25" s="36">
        <f t="shared" si="1"/>
        <v>9.6403121107850449</v>
      </c>
    </row>
    <row r="26" spans="1:19" x14ac:dyDescent="0.2">
      <c r="A26" s="50"/>
      <c r="B26" s="50"/>
      <c r="C26" s="50"/>
      <c r="D26" s="50"/>
      <c r="E26" s="50"/>
      <c r="F26" s="50"/>
      <c r="G26" s="50"/>
      <c r="H26" s="50"/>
      <c r="I26" s="50"/>
      <c r="J26" s="50"/>
      <c r="K26" s="50"/>
      <c r="L26" s="50"/>
      <c r="M26" s="50"/>
      <c r="P26" s="35">
        <f t="shared" si="3"/>
        <v>36</v>
      </c>
      <c r="Q26" s="35">
        <f t="shared" si="4"/>
        <v>2045</v>
      </c>
      <c r="R26" s="35">
        <f t="shared" si="5"/>
        <v>2046</v>
      </c>
      <c r="S26" s="36">
        <f t="shared" si="1"/>
        <v>9.833118353000744</v>
      </c>
    </row>
    <row r="27" spans="1:19" x14ac:dyDescent="0.2">
      <c r="A27" s="50"/>
      <c r="B27" s="50"/>
      <c r="C27" s="50"/>
      <c r="D27" s="50"/>
      <c r="E27" s="50"/>
      <c r="F27" s="50"/>
      <c r="G27" s="50"/>
      <c r="H27" s="50"/>
      <c r="I27" s="50"/>
      <c r="J27" s="50"/>
      <c r="K27" s="50"/>
      <c r="L27" s="50"/>
      <c r="M27" s="50"/>
      <c r="P27" s="35">
        <f t="shared" si="3"/>
        <v>37</v>
      </c>
      <c r="Q27" s="35">
        <f t="shared" si="4"/>
        <v>2046</v>
      </c>
      <c r="R27" s="35">
        <f t="shared" si="5"/>
        <v>2047</v>
      </c>
      <c r="S27" s="36">
        <f t="shared" si="1"/>
        <v>10.029780720060758</v>
      </c>
    </row>
    <row r="28" spans="1:19" x14ac:dyDescent="0.2">
      <c r="A28" s="50"/>
      <c r="B28" s="50"/>
      <c r="C28" s="50"/>
      <c r="D28" s="50"/>
      <c r="E28" s="50"/>
      <c r="F28" s="50"/>
      <c r="G28" s="50"/>
      <c r="H28" s="50"/>
      <c r="I28" s="50"/>
      <c r="J28" s="50"/>
      <c r="K28" s="50"/>
      <c r="L28" s="50"/>
      <c r="M28" s="50"/>
      <c r="P28" s="35">
        <f t="shared" si="3"/>
        <v>38</v>
      </c>
      <c r="Q28" s="35">
        <f t="shared" si="4"/>
        <v>2047</v>
      </c>
      <c r="R28" s="35">
        <f t="shared" si="5"/>
        <v>2048</v>
      </c>
      <c r="S28" s="36">
        <f t="shared" si="1"/>
        <v>10.230376334461974</v>
      </c>
    </row>
    <row r="29" spans="1:19" x14ac:dyDescent="0.2">
      <c r="A29" s="50"/>
      <c r="B29" s="50"/>
      <c r="C29" s="50"/>
      <c r="D29" s="50"/>
      <c r="E29" s="50"/>
      <c r="F29" s="50"/>
      <c r="G29" s="50"/>
      <c r="H29" s="50"/>
      <c r="I29" s="50"/>
      <c r="J29" s="50"/>
      <c r="K29" s="50"/>
      <c r="L29" s="50"/>
      <c r="M29" s="50"/>
      <c r="P29" s="35">
        <f t="shared" si="3"/>
        <v>39</v>
      </c>
      <c r="Q29" s="35">
        <f t="shared" si="4"/>
        <v>2048</v>
      </c>
      <c r="R29" s="35">
        <f t="shared" si="5"/>
        <v>2049</v>
      </c>
      <c r="S29" s="36">
        <f t="shared" si="1"/>
        <v>10.434983861151213</v>
      </c>
    </row>
    <row r="30" spans="1:19" x14ac:dyDescent="0.2">
      <c r="A30" s="50"/>
      <c r="B30" s="50"/>
      <c r="C30" s="50"/>
      <c r="D30" s="50"/>
      <c r="E30" s="50"/>
      <c r="F30" s="50"/>
      <c r="G30" s="50"/>
      <c r="H30" s="50"/>
      <c r="I30" s="50"/>
      <c r="J30" s="50"/>
      <c r="K30" s="50"/>
      <c r="L30" s="50"/>
      <c r="M30" s="50"/>
      <c r="P30" s="35">
        <f t="shared" si="3"/>
        <v>40</v>
      </c>
      <c r="Q30" s="35">
        <f t="shared" si="4"/>
        <v>2049</v>
      </c>
      <c r="R30" s="35">
        <f t="shared" si="5"/>
        <v>2050</v>
      </c>
      <c r="S30" s="36">
        <f t="shared" si="1"/>
        <v>10.643683538374239</v>
      </c>
    </row>
    <row r="31" spans="1:19" x14ac:dyDescent="0.2">
      <c r="A31" s="50"/>
      <c r="B31" s="50"/>
      <c r="C31" s="50"/>
      <c r="D31" s="50"/>
      <c r="E31" s="50"/>
      <c r="F31" s="50"/>
      <c r="G31" s="50"/>
      <c r="H31" s="50"/>
      <c r="I31" s="50"/>
      <c r="J31" s="50"/>
      <c r="K31" s="50"/>
      <c r="L31" s="50"/>
      <c r="M31" s="50"/>
      <c r="P31" s="35">
        <f t="shared" si="3"/>
        <v>41</v>
      </c>
      <c r="Q31" s="35">
        <f t="shared" si="4"/>
        <v>2050</v>
      </c>
      <c r="R31" s="35">
        <f t="shared" si="5"/>
        <v>2051</v>
      </c>
      <c r="S31" s="36">
        <f t="shared" si="1"/>
        <v>10.856557209141721</v>
      </c>
    </row>
    <row r="32" spans="1:19" x14ac:dyDescent="0.2">
      <c r="A32" s="50"/>
      <c r="B32" s="50"/>
      <c r="C32" s="50"/>
      <c r="D32" s="50"/>
      <c r="E32" s="50"/>
      <c r="F32" s="50"/>
      <c r="G32" s="50"/>
      <c r="H32" s="50"/>
      <c r="I32" s="50"/>
      <c r="J32" s="50"/>
      <c r="K32" s="50"/>
      <c r="L32" s="50"/>
      <c r="M32" s="50"/>
      <c r="P32" s="35">
        <f t="shared" si="3"/>
        <v>42</v>
      </c>
      <c r="Q32" s="35">
        <f t="shared" si="4"/>
        <v>2051</v>
      </c>
      <c r="R32" s="35">
        <f t="shared" si="5"/>
        <v>2052</v>
      </c>
      <c r="S32" s="36">
        <f t="shared" si="1"/>
        <v>11.073688353324556</v>
      </c>
    </row>
    <row r="33" spans="1:19" x14ac:dyDescent="0.2">
      <c r="A33" s="50"/>
      <c r="B33" s="50"/>
      <c r="C33" s="50"/>
      <c r="D33" s="50"/>
      <c r="E33" s="50"/>
      <c r="F33" s="50"/>
      <c r="G33" s="50"/>
      <c r="H33" s="50"/>
      <c r="I33" s="50"/>
      <c r="J33" s="50"/>
      <c r="K33" s="50"/>
      <c r="L33" s="50"/>
      <c r="M33" s="50"/>
      <c r="P33" s="35">
        <f t="shared" si="3"/>
        <v>43</v>
      </c>
      <c r="Q33" s="35">
        <f t="shared" si="4"/>
        <v>2052</v>
      </c>
      <c r="R33" s="35">
        <f t="shared" si="5"/>
        <v>2053</v>
      </c>
      <c r="S33" s="36">
        <f t="shared" si="1"/>
        <v>11.295162120391048</v>
      </c>
    </row>
    <row r="34" spans="1:19" x14ac:dyDescent="0.2">
      <c r="A34" s="50"/>
      <c r="B34" s="50"/>
      <c r="C34" s="50"/>
      <c r="D34" s="50"/>
      <c r="E34" s="50"/>
      <c r="F34" s="50"/>
      <c r="G34" s="50"/>
      <c r="H34" s="50"/>
      <c r="I34" s="50"/>
      <c r="J34" s="50"/>
      <c r="K34" s="50"/>
      <c r="L34" s="50"/>
      <c r="M34" s="50"/>
      <c r="P34" s="35">
        <f t="shared" si="3"/>
        <v>44</v>
      </c>
      <c r="Q34" s="35">
        <f t="shared" si="4"/>
        <v>2053</v>
      </c>
      <c r="R34" s="35">
        <f t="shared" si="5"/>
        <v>2054</v>
      </c>
      <c r="S34" s="36">
        <f t="shared" si="1"/>
        <v>11.52106536279887</v>
      </c>
    </row>
    <row r="35" spans="1:19" x14ac:dyDescent="0.2">
      <c r="A35" s="50"/>
      <c r="B35" s="50"/>
      <c r="C35" s="50"/>
      <c r="D35" s="50"/>
      <c r="E35" s="50"/>
      <c r="F35" s="50"/>
      <c r="G35" s="50"/>
      <c r="H35" s="50"/>
      <c r="I35" s="50"/>
      <c r="J35" s="50"/>
      <c r="K35" s="50"/>
      <c r="L35" s="50"/>
      <c r="M35" s="50"/>
      <c r="P35" s="35">
        <f t="shared" si="3"/>
        <v>45</v>
      </c>
      <c r="Q35" s="35">
        <f t="shared" si="4"/>
        <v>2054</v>
      </c>
      <c r="R35" s="35">
        <f t="shared" si="5"/>
        <v>2055</v>
      </c>
      <c r="S35" s="36">
        <f t="shared" si="1"/>
        <v>11.751486670054845</v>
      </c>
    </row>
    <row r="36" spans="1:19" x14ac:dyDescent="0.2">
      <c r="A36" s="50"/>
      <c r="B36" s="50"/>
      <c r="C36" s="50"/>
      <c r="D36" s="50"/>
      <c r="E36" s="50"/>
      <c r="F36" s="50"/>
      <c r="G36" s="50"/>
      <c r="H36" s="50"/>
      <c r="I36" s="50"/>
      <c r="J36" s="50"/>
      <c r="K36" s="50"/>
      <c r="L36" s="50"/>
      <c r="M36" s="50"/>
      <c r="P36" s="35">
        <f t="shared" si="3"/>
        <v>46</v>
      </c>
      <c r="Q36" s="35">
        <f t="shared" si="4"/>
        <v>2055</v>
      </c>
      <c r="R36" s="35">
        <f t="shared" si="5"/>
        <v>2056</v>
      </c>
      <c r="S36" s="36">
        <f t="shared" si="1"/>
        <v>11.986516403455944</v>
      </c>
    </row>
    <row r="37" spans="1:19" x14ac:dyDescent="0.2">
      <c r="A37" s="50"/>
      <c r="B37" s="50"/>
      <c r="C37" s="50"/>
      <c r="D37" s="50"/>
      <c r="E37" s="50"/>
      <c r="F37" s="50"/>
      <c r="G37" s="50"/>
      <c r="H37" s="50"/>
      <c r="I37" s="50"/>
      <c r="J37" s="50"/>
      <c r="K37" s="50"/>
      <c r="L37" s="50"/>
      <c r="M37" s="50"/>
      <c r="P37" s="35">
        <f t="shared" si="3"/>
        <v>47</v>
      </c>
      <c r="Q37" s="35">
        <f t="shared" si="4"/>
        <v>2056</v>
      </c>
      <c r="R37" s="35">
        <f t="shared" si="5"/>
        <v>2057</v>
      </c>
      <c r="S37" s="36">
        <f t="shared" si="1"/>
        <v>12.226246731525061</v>
      </c>
    </row>
    <row r="38" spans="1:19" s="50" customFormat="1" x14ac:dyDescent="0.2"/>
    <row r="39" spans="1:19" s="50" customFormat="1" x14ac:dyDescent="0.2"/>
    <row r="40" spans="1:19" s="50" customFormat="1" x14ac:dyDescent="0.2"/>
    <row r="41" spans="1:19" s="50" customFormat="1" x14ac:dyDescent="0.2"/>
    <row r="42" spans="1:19" s="50" customFormat="1" x14ac:dyDescent="0.2"/>
    <row r="43" spans="1:19" s="50" customFormat="1" x14ac:dyDescent="0.2"/>
    <row r="44" spans="1:19" s="50" customFormat="1" x14ac:dyDescent="0.2"/>
    <row r="45" spans="1:19" s="50" customFormat="1" x14ac:dyDescent="0.2"/>
    <row r="46" spans="1:19" s="50" customFormat="1" x14ac:dyDescent="0.2"/>
    <row r="47" spans="1:19" s="50" customFormat="1" x14ac:dyDescent="0.2"/>
    <row r="48" spans="1:19" s="50" customForma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3" s="50" customFormat="1" x14ac:dyDescent="0.2"/>
    <row r="84"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sheetData>
  <mergeCells count="10">
    <mergeCell ref="M6:M7"/>
    <mergeCell ref="I5:M5"/>
    <mergeCell ref="A1:H1"/>
    <mergeCell ref="I16:I19"/>
    <mergeCell ref="K6:K7"/>
    <mergeCell ref="L6:L7"/>
    <mergeCell ref="I12:I15"/>
    <mergeCell ref="I8:I11"/>
    <mergeCell ref="I6:I7"/>
    <mergeCell ref="J6:J7"/>
  </mergeCells>
  <dataValidations count="1">
    <dataValidation type="list" allowBlank="1" showInputMessage="1" showErrorMessage="1" sqref="C3" xr:uid="{676C3FCB-7B13-40F9-ABD4-D483FC5CE4A6}">
      <formula1>$J$8:$J$11</formula1>
    </dataValidation>
  </dataValidations>
  <pageMargins left="0.7" right="0.7" top="0.75" bottom="0.75" header="0.3" footer="0.3"/>
  <pageSetup orientation="portrait" r:id="rId1"/>
  <ignoredErrors>
    <ignoredError sqref="M8 M9:M15 M17:M19"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C96B5-1784-4AC2-A043-B4DEC75A4CE6}">
  <sheetPr codeName="Sheet14">
    <tabColor theme="7"/>
  </sheetPr>
  <dimension ref="A1:AT55"/>
  <sheetViews>
    <sheetView zoomScale="80" zoomScaleNormal="80" workbookViewId="0">
      <selection activeCell="C11" sqref="C11"/>
    </sheetView>
  </sheetViews>
  <sheetFormatPr defaultColWidth="9.140625" defaultRowHeight="15" x14ac:dyDescent="0.25"/>
  <cols>
    <col min="1" max="2" width="9.140625" style="83"/>
    <col min="3" max="7" width="10.85546875" style="83" customWidth="1"/>
    <col min="8" max="9" width="9.140625" style="83"/>
    <col min="10" max="14" width="10.85546875" style="83" customWidth="1"/>
    <col min="15" max="15" width="9.140625" style="83"/>
    <col min="16" max="16" width="13" style="83" customWidth="1"/>
    <col min="17" max="16384" width="9.140625" style="83"/>
  </cols>
  <sheetData>
    <row r="1" spans="1:46"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row>
    <row r="2" spans="1:46" ht="21" x14ac:dyDescent="0.35">
      <c r="A2" s="50"/>
      <c r="B2" s="50"/>
      <c r="C2" s="50"/>
      <c r="D2" s="50"/>
      <c r="E2" s="50"/>
      <c r="F2" s="50"/>
      <c r="G2" s="50"/>
      <c r="H2" s="50"/>
      <c r="I2" s="50"/>
      <c r="J2" s="50"/>
      <c r="K2" s="50"/>
      <c r="L2" s="50"/>
      <c r="M2" s="50"/>
      <c r="N2" s="50"/>
      <c r="O2" s="50"/>
      <c r="P2" s="70" t="s">
        <v>45</v>
      </c>
      <c r="Q2" s="50"/>
      <c r="R2" s="50"/>
      <c r="S2" s="50"/>
      <c r="T2" s="50"/>
      <c r="U2" s="50"/>
      <c r="V2" s="50"/>
      <c r="W2" s="50"/>
      <c r="X2" s="50"/>
      <c r="Y2" s="50"/>
      <c r="Z2" s="50"/>
      <c r="AA2" s="50"/>
      <c r="AB2" s="50"/>
      <c r="AC2" s="50"/>
      <c r="AD2" s="50"/>
      <c r="AE2" s="50"/>
      <c r="AF2" s="50"/>
      <c r="AG2" s="50"/>
      <c r="AH2" s="50"/>
    </row>
    <row r="3" spans="1:46" x14ac:dyDescent="0.25">
      <c r="A3" s="50"/>
      <c r="B3" s="50"/>
      <c r="C3" s="50"/>
      <c r="D3" s="50"/>
      <c r="E3" s="50"/>
      <c r="F3" s="50"/>
      <c r="G3" s="50"/>
      <c r="H3" s="50"/>
      <c r="I3" s="50"/>
      <c r="J3" s="50"/>
      <c r="K3" s="50"/>
      <c r="L3" s="50"/>
      <c r="M3" s="50"/>
      <c r="N3" s="50"/>
      <c r="O3" s="50"/>
      <c r="P3" s="68" t="s">
        <v>148</v>
      </c>
      <c r="Q3" s="69" t="s">
        <v>262</v>
      </c>
      <c r="R3" s="50"/>
      <c r="S3" s="50"/>
      <c r="T3" s="50"/>
      <c r="U3" s="50"/>
      <c r="V3" s="50"/>
      <c r="W3" s="50"/>
      <c r="X3" s="50"/>
      <c r="Y3" s="50"/>
      <c r="Z3" s="50"/>
      <c r="AA3" s="50"/>
      <c r="AB3" s="50"/>
      <c r="AC3" s="50"/>
      <c r="AD3" s="50"/>
      <c r="AE3" s="50"/>
      <c r="AF3" s="50"/>
      <c r="AG3" s="50"/>
      <c r="AH3" s="50"/>
    </row>
    <row r="4" spans="1:46" ht="15.75" x14ac:dyDescent="0.25">
      <c r="A4" s="50"/>
      <c r="B4" s="90"/>
      <c r="D4" s="50"/>
      <c r="E4" s="50"/>
      <c r="F4" s="349" t="s">
        <v>198</v>
      </c>
      <c r="G4" s="349"/>
      <c r="H4" s="50"/>
      <c r="I4" s="50"/>
      <c r="J4" s="50"/>
      <c r="K4" s="50"/>
      <c r="L4" s="50"/>
      <c r="M4" s="50"/>
      <c r="N4" s="50"/>
      <c r="O4" s="50"/>
      <c r="P4" s="67" t="str">
        <f ca="1">IF(COUNTIF(C11:G30,"=")&gt;0,"Incomplete","Complete")</f>
        <v>Complete</v>
      </c>
      <c r="Q4" s="50"/>
      <c r="R4" s="50"/>
      <c r="S4" s="50"/>
      <c r="T4" s="50"/>
      <c r="U4" s="50"/>
      <c r="V4" s="50"/>
      <c r="W4" s="50"/>
      <c r="X4" s="50"/>
      <c r="Y4" s="50"/>
      <c r="Z4" s="50"/>
      <c r="AA4" s="50"/>
      <c r="AB4" s="50"/>
      <c r="AC4" s="50"/>
      <c r="AD4" s="50"/>
      <c r="AE4" s="50"/>
      <c r="AF4" s="50"/>
      <c r="AG4" s="50"/>
      <c r="AH4" s="50"/>
    </row>
    <row r="5" spans="1:46" x14ac:dyDescent="0.25">
      <c r="A5" s="50"/>
      <c r="B5" s="213"/>
      <c r="C5" s="214" t="s">
        <v>263</v>
      </c>
      <c r="D5" s="29" t="str">
        <f>EDC_NAME</f>
        <v>West Penn</v>
      </c>
      <c r="E5" s="50"/>
      <c r="F5" s="28" t="s">
        <v>107</v>
      </c>
      <c r="G5" s="207">
        <f>'Generation Capacity'!AB8</f>
        <v>0.5</v>
      </c>
      <c r="H5" s="50"/>
      <c r="I5" s="50"/>
      <c r="J5" s="50"/>
      <c r="K5" s="50"/>
      <c r="L5" s="50"/>
      <c r="M5" s="50"/>
      <c r="N5" s="50"/>
      <c r="O5" s="50"/>
      <c r="P5" s="50"/>
      <c r="Q5" s="50"/>
      <c r="R5" s="50"/>
      <c r="S5" s="50"/>
      <c r="T5" s="50"/>
      <c r="U5" s="50"/>
      <c r="V5" s="50"/>
      <c r="W5" s="50"/>
      <c r="X5" s="50"/>
      <c r="Y5" s="50"/>
      <c r="Z5" s="50"/>
      <c r="AA5" s="50"/>
      <c r="AB5" s="50"/>
      <c r="AC5" s="50"/>
      <c r="AD5" s="50"/>
      <c r="AE5" s="50"/>
      <c r="AF5" s="50"/>
      <c r="AG5" s="50"/>
      <c r="AH5" s="50"/>
    </row>
    <row r="6" spans="1:46" x14ac:dyDescent="0.25">
      <c r="A6" s="50"/>
      <c r="B6" s="213"/>
      <c r="C6" s="214" t="s">
        <v>264</v>
      </c>
      <c r="D6" s="29">
        <f>INDEX(Lookups!$C$6:$C$12,MATCH($D$5,Lookups!$B$6:$B$12,0))</f>
        <v>24</v>
      </c>
      <c r="E6" s="59"/>
      <c r="F6" s="28" t="s">
        <v>101</v>
      </c>
      <c r="G6" s="207">
        <f>'Generation Capacity'!AB9</f>
        <v>0.5</v>
      </c>
      <c r="H6" s="59"/>
      <c r="I6" s="59"/>
      <c r="J6" s="59"/>
      <c r="K6" s="59"/>
      <c r="L6" s="59"/>
      <c r="M6" s="59"/>
      <c r="N6" s="59"/>
      <c r="O6" s="59"/>
      <c r="P6" s="50"/>
      <c r="Q6" s="50"/>
      <c r="R6" s="50"/>
      <c r="S6" s="50"/>
      <c r="T6" s="50"/>
      <c r="U6" s="50"/>
      <c r="V6" s="50"/>
      <c r="W6" s="50"/>
      <c r="X6" s="50"/>
      <c r="Y6" s="50"/>
      <c r="Z6" s="50"/>
      <c r="AA6" s="50"/>
      <c r="AB6" s="50"/>
      <c r="AC6" s="50"/>
      <c r="AD6" s="50"/>
      <c r="AE6" s="50"/>
      <c r="AF6" s="50"/>
      <c r="AG6" s="50"/>
      <c r="AH6" s="50"/>
    </row>
    <row r="7" spans="1:46" ht="16.5" thickBot="1" x14ac:dyDescent="0.3">
      <c r="A7" s="50"/>
      <c r="B7" s="50"/>
      <c r="C7" s="50"/>
      <c r="D7" s="50"/>
      <c r="E7" s="50"/>
      <c r="F7" s="50"/>
      <c r="G7" s="50"/>
      <c r="H7" s="50"/>
      <c r="I7" s="50"/>
      <c r="J7" s="50"/>
      <c r="K7" s="50"/>
      <c r="L7" s="50"/>
      <c r="M7" s="50"/>
      <c r="N7" s="50"/>
      <c r="O7" s="50"/>
      <c r="P7" s="90" t="s">
        <v>265</v>
      </c>
      <c r="Q7" s="50"/>
      <c r="R7" s="76"/>
      <c r="S7" s="76"/>
      <c r="T7" s="76"/>
      <c r="U7" s="50"/>
      <c r="V7" s="50"/>
      <c r="W7" s="50"/>
      <c r="X7" s="50"/>
      <c r="Y7" s="50"/>
      <c r="Z7" s="50"/>
      <c r="AA7" s="50"/>
      <c r="AB7" s="50"/>
      <c r="AC7" s="50"/>
      <c r="AD7" s="50"/>
      <c r="AE7" s="50"/>
      <c r="AF7" s="50"/>
      <c r="AG7" s="50"/>
      <c r="AH7" s="50"/>
    </row>
    <row r="8" spans="1:46" ht="16.5" thickBot="1" x14ac:dyDescent="0.3">
      <c r="A8" s="50"/>
      <c r="B8" s="90"/>
      <c r="C8" s="50"/>
      <c r="D8" s="50"/>
      <c r="E8" s="50"/>
      <c r="F8" s="50"/>
      <c r="G8" s="50"/>
      <c r="H8" s="50"/>
      <c r="I8" s="90" t="s">
        <v>266</v>
      </c>
      <c r="J8" s="50"/>
      <c r="K8" s="50"/>
      <c r="L8" s="50"/>
      <c r="M8" s="50"/>
      <c r="N8" s="50"/>
      <c r="O8" s="50"/>
      <c r="P8" s="375" t="s">
        <v>267</v>
      </c>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7"/>
      <c r="AS8" s="84"/>
      <c r="AT8" s="84"/>
    </row>
    <row r="9" spans="1:46" x14ac:dyDescent="0.25">
      <c r="B9" s="380" t="s">
        <v>217</v>
      </c>
      <c r="C9" s="215" t="s">
        <v>268</v>
      </c>
      <c r="D9" s="215"/>
      <c r="E9" s="215"/>
      <c r="F9" s="215"/>
      <c r="G9" s="215"/>
      <c r="H9" s="50"/>
      <c r="I9" s="381" t="s">
        <v>217</v>
      </c>
      <c r="J9" s="220" t="s">
        <v>269</v>
      </c>
      <c r="K9" s="220"/>
      <c r="L9" s="220"/>
      <c r="M9" s="220"/>
      <c r="N9" s="220"/>
      <c r="O9" s="50"/>
      <c r="P9" s="378" t="s">
        <v>14</v>
      </c>
      <c r="Q9" s="373" t="s">
        <v>91</v>
      </c>
      <c r="R9" s="373"/>
      <c r="S9" s="373"/>
      <c r="T9" s="374"/>
      <c r="U9" s="373" t="s">
        <v>97</v>
      </c>
      <c r="V9" s="373"/>
      <c r="W9" s="373"/>
      <c r="X9" s="374"/>
      <c r="Y9" s="373" t="s">
        <v>85</v>
      </c>
      <c r="Z9" s="373"/>
      <c r="AA9" s="373"/>
      <c r="AB9" s="374"/>
      <c r="AC9" s="373" t="s">
        <v>88</v>
      </c>
      <c r="AD9" s="373"/>
      <c r="AE9" s="373"/>
      <c r="AF9" s="374"/>
      <c r="AG9" s="373" t="s">
        <v>93</v>
      </c>
      <c r="AH9" s="373"/>
      <c r="AI9" s="373"/>
      <c r="AJ9" s="374"/>
      <c r="AK9" s="373" t="s">
        <v>95</v>
      </c>
      <c r="AL9" s="373"/>
      <c r="AM9" s="373"/>
      <c r="AN9" s="374"/>
      <c r="AO9" s="373" t="s">
        <v>270</v>
      </c>
      <c r="AP9" s="373"/>
      <c r="AQ9" s="373"/>
      <c r="AR9" s="374"/>
    </row>
    <row r="10" spans="1:46" x14ac:dyDescent="0.25">
      <c r="A10" s="50"/>
      <c r="B10" s="380"/>
      <c r="C10" s="29" t="str">
        <f>"PY"&amp;Start_Year_PY</f>
        <v>PY18</v>
      </c>
      <c r="D10" s="29" t="str">
        <f>"PY"&amp;Start_Year_PY+1</f>
        <v>PY19</v>
      </c>
      <c r="E10" s="29" t="str">
        <f>"PY"&amp;Start_Year_PY+2</f>
        <v>PY20</v>
      </c>
      <c r="F10" s="29" t="str">
        <f>"PY"&amp;Start_Year_PY+3</f>
        <v>PY21</v>
      </c>
      <c r="G10" s="29" t="str">
        <f>"PY"&amp;Start_Year_PY+4</f>
        <v>PY22</v>
      </c>
      <c r="H10" s="50"/>
      <c r="I10" s="381"/>
      <c r="J10" s="221" t="str">
        <f>"PY"&amp;Start_Year_PY</f>
        <v>PY18</v>
      </c>
      <c r="K10" s="221" t="str">
        <f>"PY"&amp;Start_Year_PY+1</f>
        <v>PY19</v>
      </c>
      <c r="L10" s="221" t="str">
        <f>"PY"&amp;Start_Year_PY+2</f>
        <v>PY20</v>
      </c>
      <c r="M10" s="221" t="str">
        <f>"PY"&amp;Start_Year_PY+3</f>
        <v>PY21</v>
      </c>
      <c r="N10" s="221" t="str">
        <f>"PY"&amp;Start_Year_PY+4</f>
        <v>PY22</v>
      </c>
      <c r="O10" s="50"/>
      <c r="P10" s="379"/>
      <c r="Q10" s="104" t="s">
        <v>271</v>
      </c>
      <c r="R10" s="105" t="s">
        <v>272</v>
      </c>
      <c r="S10" s="105" t="s">
        <v>273</v>
      </c>
      <c r="T10" s="106" t="s">
        <v>274</v>
      </c>
      <c r="U10" s="104" t="s">
        <v>271</v>
      </c>
      <c r="V10" s="105" t="s">
        <v>272</v>
      </c>
      <c r="W10" s="105" t="s">
        <v>273</v>
      </c>
      <c r="X10" s="106" t="s">
        <v>274</v>
      </c>
      <c r="Y10" s="104" t="s">
        <v>271</v>
      </c>
      <c r="Z10" s="105" t="s">
        <v>272</v>
      </c>
      <c r="AA10" s="105" t="s">
        <v>273</v>
      </c>
      <c r="AB10" s="106" t="s">
        <v>274</v>
      </c>
      <c r="AC10" s="104" t="s">
        <v>271</v>
      </c>
      <c r="AD10" s="105" t="s">
        <v>272</v>
      </c>
      <c r="AE10" s="105" t="s">
        <v>273</v>
      </c>
      <c r="AF10" s="106" t="s">
        <v>274</v>
      </c>
      <c r="AG10" s="104" t="s">
        <v>271</v>
      </c>
      <c r="AH10" s="105" t="s">
        <v>272</v>
      </c>
      <c r="AI10" s="105" t="s">
        <v>273</v>
      </c>
      <c r="AJ10" s="106" t="s">
        <v>274</v>
      </c>
      <c r="AK10" s="104" t="s">
        <v>271</v>
      </c>
      <c r="AL10" s="105" t="s">
        <v>272</v>
      </c>
      <c r="AM10" s="105" t="s">
        <v>273</v>
      </c>
      <c r="AN10" s="106" t="s">
        <v>274</v>
      </c>
      <c r="AO10" s="104" t="s">
        <v>271</v>
      </c>
      <c r="AP10" s="105" t="s">
        <v>272</v>
      </c>
      <c r="AQ10" s="105" t="s">
        <v>273</v>
      </c>
      <c r="AR10" s="106" t="s">
        <v>274</v>
      </c>
    </row>
    <row r="11" spans="1:46" x14ac:dyDescent="0.25">
      <c r="A11" s="87">
        <v>1</v>
      </c>
      <c r="B11" s="29">
        <f>Start_Year</f>
        <v>2027</v>
      </c>
      <c r="C11" s="219">
        <f ca="1">OFFSET($P$10,MATCH(C$10,$C$10:$G$10,0),$D$6+ROW($B11)-10,1,1)</f>
        <v>25.04</v>
      </c>
      <c r="D11" s="219">
        <v>0</v>
      </c>
      <c r="E11" s="219">
        <v>0</v>
      </c>
      <c r="F11" s="219">
        <v>0</v>
      </c>
      <c r="G11" s="219">
        <v>0</v>
      </c>
      <c r="H11" s="50"/>
      <c r="I11" s="221">
        <f>Start_Year</f>
        <v>2027</v>
      </c>
      <c r="J11" s="216">
        <f ca="1">OFFSET($P$20,MATCH(J$10,$J$10:$N$10,0),$D$6+ROW($I11)-10,1,1)</f>
        <v>13.25</v>
      </c>
      <c r="K11" s="216">
        <v>0</v>
      </c>
      <c r="L11" s="216">
        <v>0</v>
      </c>
      <c r="M11" s="216">
        <v>0</v>
      </c>
      <c r="N11" s="216">
        <v>0</v>
      </c>
      <c r="O11" s="65"/>
      <c r="P11" s="88" t="s">
        <v>116</v>
      </c>
      <c r="Q11" s="97">
        <v>67.540000000000006</v>
      </c>
      <c r="R11" s="195">
        <v>68.89</v>
      </c>
      <c r="S11" s="195">
        <v>70.260000000000005</v>
      </c>
      <c r="T11" s="196">
        <v>71.67</v>
      </c>
      <c r="U11" s="97">
        <v>78.36</v>
      </c>
      <c r="V11" s="195">
        <v>79.92</v>
      </c>
      <c r="W11" s="195">
        <v>81.52</v>
      </c>
      <c r="X11" s="196">
        <v>83.15</v>
      </c>
      <c r="Y11" s="97">
        <v>25.04</v>
      </c>
      <c r="Z11" s="195">
        <v>25.54</v>
      </c>
      <c r="AA11" s="195">
        <v>26.05</v>
      </c>
      <c r="AB11" s="196">
        <v>26.57</v>
      </c>
      <c r="AC11" s="97">
        <v>78.36</v>
      </c>
      <c r="AD11" s="195">
        <v>79.92</v>
      </c>
      <c r="AE11" s="195">
        <v>81.52</v>
      </c>
      <c r="AF11" s="196">
        <v>83.15</v>
      </c>
      <c r="AG11" s="97">
        <v>78.36</v>
      </c>
      <c r="AH11" s="195">
        <v>79.92</v>
      </c>
      <c r="AI11" s="195">
        <v>81.52</v>
      </c>
      <c r="AJ11" s="196">
        <v>83.15</v>
      </c>
      <c r="AK11" s="97">
        <v>14.65</v>
      </c>
      <c r="AL11" s="195">
        <v>14.94</v>
      </c>
      <c r="AM11" s="195">
        <v>15.24</v>
      </c>
      <c r="AN11" s="196">
        <v>15.54</v>
      </c>
      <c r="AO11" s="97">
        <v>25.04</v>
      </c>
      <c r="AP11" s="195">
        <v>25.54</v>
      </c>
      <c r="AQ11" s="195">
        <v>26.05</v>
      </c>
      <c r="AR11" s="196">
        <v>26.57</v>
      </c>
    </row>
    <row r="12" spans="1:46" x14ac:dyDescent="0.25">
      <c r="A12" s="87">
        <v>2</v>
      </c>
      <c r="B12" s="29">
        <f>B11+1</f>
        <v>2028</v>
      </c>
      <c r="C12" s="219">
        <f ca="1">OFFSET($P$10,MATCH(C$10,$C$10:$G$10,0),$D$6+ROW($B12)-10,1,1)</f>
        <v>25.54</v>
      </c>
      <c r="D12" s="219">
        <f ca="1">OFFSET($P$10,MATCH(D$10,$C$10:$G$10,0),$D$6+ROW($B11)-10,1,1)</f>
        <v>25.54</v>
      </c>
      <c r="E12" s="219">
        <v>0</v>
      </c>
      <c r="F12" s="219">
        <v>0</v>
      </c>
      <c r="G12" s="219">
        <v>0</v>
      </c>
      <c r="H12" s="50"/>
      <c r="I12" s="221">
        <f>I11+1</f>
        <v>2028</v>
      </c>
      <c r="J12" s="216">
        <f ca="1">OFFSET($P$20,MATCH(J$10,$J$10:$N$10,0),$D$6+ROW($I12)-10,1,1)</f>
        <v>21.65</v>
      </c>
      <c r="K12" s="216">
        <f ca="1">OFFSET($P$20,MATCH(K$10,$J$10:$N$10,0),$D$6+ROW($I11)-10,1,1)</f>
        <v>14.09</v>
      </c>
      <c r="L12" s="216">
        <v>0</v>
      </c>
      <c r="M12" s="216">
        <v>0</v>
      </c>
      <c r="N12" s="216">
        <v>0</v>
      </c>
      <c r="O12" s="65"/>
      <c r="P12" s="88" t="s">
        <v>130</v>
      </c>
      <c r="Q12" s="97">
        <v>68.89</v>
      </c>
      <c r="R12" s="195">
        <v>70.260000000000005</v>
      </c>
      <c r="S12" s="195">
        <v>71.67</v>
      </c>
      <c r="T12" s="196">
        <v>73.099999999999994</v>
      </c>
      <c r="U12" s="97">
        <v>79.92</v>
      </c>
      <c r="V12" s="195">
        <v>81.52</v>
      </c>
      <c r="W12" s="195">
        <v>83.15</v>
      </c>
      <c r="X12" s="196">
        <v>84.82</v>
      </c>
      <c r="Y12" s="97">
        <v>25.54</v>
      </c>
      <c r="Z12" s="195">
        <v>26.05</v>
      </c>
      <c r="AA12" s="195">
        <v>26.57</v>
      </c>
      <c r="AB12" s="196">
        <v>27.1</v>
      </c>
      <c r="AC12" s="97">
        <v>79.92</v>
      </c>
      <c r="AD12" s="195">
        <v>81.52</v>
      </c>
      <c r="AE12" s="195">
        <v>83.15</v>
      </c>
      <c r="AF12" s="196">
        <v>84.82</v>
      </c>
      <c r="AG12" s="97">
        <v>79.92</v>
      </c>
      <c r="AH12" s="195">
        <v>81.52</v>
      </c>
      <c r="AI12" s="195">
        <v>83.15</v>
      </c>
      <c r="AJ12" s="196">
        <v>84.82</v>
      </c>
      <c r="AK12" s="97">
        <v>14.94</v>
      </c>
      <c r="AL12" s="195">
        <v>15.24</v>
      </c>
      <c r="AM12" s="195">
        <v>15.54</v>
      </c>
      <c r="AN12" s="196">
        <v>15.85</v>
      </c>
      <c r="AO12" s="97">
        <v>25.54</v>
      </c>
      <c r="AP12" s="195">
        <v>26.05</v>
      </c>
      <c r="AQ12" s="195">
        <v>26.57</v>
      </c>
      <c r="AR12" s="196">
        <v>27.1</v>
      </c>
    </row>
    <row r="13" spans="1:46" x14ac:dyDescent="0.25">
      <c r="A13" s="87">
        <v>3</v>
      </c>
      <c r="B13" s="29">
        <f t="shared" ref="B13:B30" si="0">B12+1</f>
        <v>2029</v>
      </c>
      <c r="C13" s="219">
        <f ca="1">OFFSET($P$10,MATCH(C$10,$C$10:$G$10,0),$D$6+ROW($B13)-10,1,1)</f>
        <v>26.05</v>
      </c>
      <c r="D13" s="219">
        <f ca="1">OFFSET($P$10,MATCH(D$10,$C$10:$G$10,0),$D$6+ROW($B12)-10,1,1)</f>
        <v>26.05</v>
      </c>
      <c r="E13" s="219">
        <f ca="1">OFFSET($P$10,MATCH(E$10,$C$10:$G$10,0),$D$6+ROW($B11)-10,1,1)</f>
        <v>26.05</v>
      </c>
      <c r="F13" s="219">
        <v>0</v>
      </c>
      <c r="G13" s="219">
        <v>0</v>
      </c>
      <c r="H13" s="50"/>
      <c r="I13" s="221">
        <f t="shared" ref="I13:I30" si="1">I12+1</f>
        <v>2029</v>
      </c>
      <c r="J13" s="216">
        <f ca="1">OFFSET($P$20,MATCH(J$10,$J$10:$N$10,0),$D$6+ROW($I13)-10,1,1)</f>
        <v>28.61</v>
      </c>
      <c r="K13" s="216">
        <f ca="1">OFFSET($P$20,MATCH(K$10,$J$10:$N$10,0),$D$6+ROW($I12)-10,1,1)</f>
        <v>23.06</v>
      </c>
      <c r="L13" s="216">
        <f ca="1">OFFSET($P$20,MATCH(L$10,$J$10:$N$10,0),$D$6+ROW($I11)-10,1,1)</f>
        <v>15.01</v>
      </c>
      <c r="M13" s="216">
        <v>0</v>
      </c>
      <c r="N13" s="216">
        <v>0</v>
      </c>
      <c r="O13" s="65"/>
      <c r="P13" s="88" t="s">
        <v>131</v>
      </c>
      <c r="Q13" s="97">
        <v>70.260000000000005</v>
      </c>
      <c r="R13" s="195">
        <v>71.67</v>
      </c>
      <c r="S13" s="195">
        <v>73.099999999999994</v>
      </c>
      <c r="T13" s="196">
        <v>74.56</v>
      </c>
      <c r="U13" s="97">
        <v>81.52</v>
      </c>
      <c r="V13" s="195">
        <v>83.15</v>
      </c>
      <c r="W13" s="195">
        <v>84.82</v>
      </c>
      <c r="X13" s="196">
        <v>86.51</v>
      </c>
      <c r="Y13" s="97">
        <v>26.05</v>
      </c>
      <c r="Z13" s="195">
        <v>26.57</v>
      </c>
      <c r="AA13" s="195">
        <v>27.1</v>
      </c>
      <c r="AB13" s="196">
        <v>27.64</v>
      </c>
      <c r="AC13" s="97">
        <v>81.52</v>
      </c>
      <c r="AD13" s="195">
        <v>83.15</v>
      </c>
      <c r="AE13" s="195">
        <v>84.82</v>
      </c>
      <c r="AF13" s="196">
        <v>86.51</v>
      </c>
      <c r="AG13" s="97">
        <v>81.52</v>
      </c>
      <c r="AH13" s="195">
        <v>83.15</v>
      </c>
      <c r="AI13" s="195">
        <v>84.82</v>
      </c>
      <c r="AJ13" s="196">
        <v>86.51</v>
      </c>
      <c r="AK13" s="97">
        <v>15.24</v>
      </c>
      <c r="AL13" s="195">
        <v>15.54</v>
      </c>
      <c r="AM13" s="195">
        <v>15.85</v>
      </c>
      <c r="AN13" s="196">
        <v>16.170000000000002</v>
      </c>
      <c r="AO13" s="97">
        <v>26.05</v>
      </c>
      <c r="AP13" s="195">
        <v>26.57</v>
      </c>
      <c r="AQ13" s="195">
        <v>27.1</v>
      </c>
      <c r="AR13" s="196">
        <v>27.64</v>
      </c>
    </row>
    <row r="14" spans="1:46" x14ac:dyDescent="0.25">
      <c r="A14" s="87">
        <v>4</v>
      </c>
      <c r="B14" s="29">
        <f t="shared" si="0"/>
        <v>2030</v>
      </c>
      <c r="C14" s="219">
        <f ca="1">OFFSET($P$10,MATCH(C$10,$C$10:$G$10,0),$D$6+ROW($B14)-10,1,1)</f>
        <v>26.57</v>
      </c>
      <c r="D14" s="219">
        <f ca="1">OFFSET($P$10,MATCH(D$10,$C$10:$G$10,0),$D$6+ROW($B13)-10,1,1)</f>
        <v>26.57</v>
      </c>
      <c r="E14" s="219">
        <f ca="1">OFFSET($P$10,MATCH(E$10,$C$10:$G$10,0),$D$6+ROW($B12)-10,1,1)</f>
        <v>26.57</v>
      </c>
      <c r="F14" s="219">
        <f ca="1">OFFSET($P$10,MATCH(F$10,$C$10:$G$10,0),$D$6+ROW($B11)-10,1,1)</f>
        <v>26.57</v>
      </c>
      <c r="G14" s="219">
        <v>0</v>
      </c>
      <c r="H14" s="50"/>
      <c r="I14" s="221">
        <f t="shared" si="1"/>
        <v>2030</v>
      </c>
      <c r="J14" s="216">
        <f ca="1">OFFSET($P$20,MATCH(J$10,$J$10:$N$10,0),$D$6+ROW($I14)-10,1,1)</f>
        <v>27.47</v>
      </c>
      <c r="K14" s="216">
        <f ca="1">OFFSET($P$20,MATCH(K$10,$J$10:$N$10,0),$D$6+ROW($I13)-10,1,1)</f>
        <v>30.21</v>
      </c>
      <c r="L14" s="216">
        <f ca="1">OFFSET($P$20,MATCH(L$10,$J$10:$N$10,0),$D$6+ROW($I12)-10,1,1)</f>
        <v>24.35</v>
      </c>
      <c r="M14" s="216">
        <f ca="1">OFFSET($P$20,MATCH(M$10,$J$10:$N$10,0),$D$6+ROW($I11)-10,1,1)</f>
        <v>15.85</v>
      </c>
      <c r="N14" s="216">
        <v>0</v>
      </c>
      <c r="O14" s="65"/>
      <c r="P14" s="88" t="s">
        <v>132</v>
      </c>
      <c r="Q14" s="97">
        <v>71.67</v>
      </c>
      <c r="R14" s="195">
        <v>73.099999999999994</v>
      </c>
      <c r="S14" s="195">
        <v>74.56</v>
      </c>
      <c r="T14" s="196">
        <v>76.06</v>
      </c>
      <c r="U14" s="97">
        <v>83.15</v>
      </c>
      <c r="V14" s="195">
        <v>84.82</v>
      </c>
      <c r="W14" s="195">
        <v>86.51</v>
      </c>
      <c r="X14" s="196">
        <v>88.24</v>
      </c>
      <c r="Y14" s="97">
        <v>26.57</v>
      </c>
      <c r="Z14" s="195">
        <v>27.1</v>
      </c>
      <c r="AA14" s="195">
        <v>27.64</v>
      </c>
      <c r="AB14" s="196">
        <v>28.2</v>
      </c>
      <c r="AC14" s="97">
        <v>83.15</v>
      </c>
      <c r="AD14" s="195">
        <v>84.82</v>
      </c>
      <c r="AE14" s="195">
        <v>86.51</v>
      </c>
      <c r="AF14" s="196">
        <v>88.24</v>
      </c>
      <c r="AG14" s="97">
        <v>83.15</v>
      </c>
      <c r="AH14" s="195">
        <v>84.82</v>
      </c>
      <c r="AI14" s="195">
        <v>86.51</v>
      </c>
      <c r="AJ14" s="196">
        <v>88.24</v>
      </c>
      <c r="AK14" s="97">
        <v>15.54</v>
      </c>
      <c r="AL14" s="195">
        <v>15.85</v>
      </c>
      <c r="AM14" s="195">
        <v>16.170000000000002</v>
      </c>
      <c r="AN14" s="196">
        <v>16.489999999999998</v>
      </c>
      <c r="AO14" s="97">
        <v>26.57</v>
      </c>
      <c r="AP14" s="195">
        <v>27.1</v>
      </c>
      <c r="AQ14" s="195">
        <v>27.64</v>
      </c>
      <c r="AR14" s="196">
        <v>28.2</v>
      </c>
    </row>
    <row r="15" spans="1:46" ht="15.75" thickBot="1" x14ac:dyDescent="0.3">
      <c r="A15" s="50"/>
      <c r="B15" s="29">
        <f t="shared" si="0"/>
        <v>2031</v>
      </c>
      <c r="C15" s="219">
        <v>0</v>
      </c>
      <c r="D15" s="219">
        <f ca="1">OFFSET($P$10,MATCH(D$10,$C$10:$G$10,0),$D$6+ROW($B14)-10,1,1)</f>
        <v>27.1</v>
      </c>
      <c r="E15" s="219">
        <f ca="1">OFFSET($P$10,MATCH(E$10,$C$10:$G$10,0),$D$6+ROW($B13)-10,1,1)</f>
        <v>27.1</v>
      </c>
      <c r="F15" s="219">
        <f ca="1">OFFSET($P$10,MATCH(F$10,$C$10:$G$10,0),$D$6+ROW($B12)-10,1,1)</f>
        <v>27.1</v>
      </c>
      <c r="G15" s="219">
        <f ca="1">OFFSET($P$10,MATCH(G$10,$C$10:$G$10,0),$D$6+ROW($B11)-10,1,1)</f>
        <v>27.1</v>
      </c>
      <c r="H15" s="50"/>
      <c r="I15" s="221">
        <f t="shared" si="1"/>
        <v>2031</v>
      </c>
      <c r="J15" s="217">
        <v>0</v>
      </c>
      <c r="K15" s="217">
        <f ca="1">OFFSET($P$20,MATCH(K$10,$J$10:$N$10,0),$D$6+ROW($I14)-10,1,1)</f>
        <v>29.06</v>
      </c>
      <c r="L15" s="217">
        <f ca="1">OFFSET($P$20,MATCH(L$10,$J$10:$N$10,0),$D$6+ROW($I13)-10,1,1)</f>
        <v>31.97</v>
      </c>
      <c r="M15" s="217">
        <f ca="1">OFFSET($P$20,MATCH(M$10,$J$10:$N$10,0),$D$6+ROW($I12)-10,1,1)</f>
        <v>25.76</v>
      </c>
      <c r="N15" s="217">
        <f ca="1">OFFSET($P$20,MATCH(N$10,$J$10:$N$10,0),$D$6+ROW($I11)-10,1,1)</f>
        <v>16.77</v>
      </c>
      <c r="O15" s="65"/>
      <c r="P15" s="89" t="s">
        <v>133</v>
      </c>
      <c r="Q15" s="197">
        <v>73.099999999999994</v>
      </c>
      <c r="R15" s="198">
        <v>74.56</v>
      </c>
      <c r="S15" s="198">
        <v>76.06</v>
      </c>
      <c r="T15" s="199">
        <v>77.58</v>
      </c>
      <c r="U15" s="197">
        <v>84.82</v>
      </c>
      <c r="V15" s="198">
        <v>86.51</v>
      </c>
      <c r="W15" s="198">
        <v>88.24</v>
      </c>
      <c r="X15" s="199">
        <v>90.01</v>
      </c>
      <c r="Y15" s="197">
        <v>27.1</v>
      </c>
      <c r="Z15" s="198">
        <v>27.64</v>
      </c>
      <c r="AA15" s="198">
        <v>28.2</v>
      </c>
      <c r="AB15" s="199">
        <v>28.76</v>
      </c>
      <c r="AC15" s="197">
        <v>84.82</v>
      </c>
      <c r="AD15" s="198">
        <v>86.51</v>
      </c>
      <c r="AE15" s="198">
        <v>88.24</v>
      </c>
      <c r="AF15" s="199">
        <v>90.01</v>
      </c>
      <c r="AG15" s="197">
        <v>84.82</v>
      </c>
      <c r="AH15" s="198">
        <v>86.51</v>
      </c>
      <c r="AI15" s="198">
        <v>88.24</v>
      </c>
      <c r="AJ15" s="199">
        <v>90.01</v>
      </c>
      <c r="AK15" s="197">
        <v>15.85</v>
      </c>
      <c r="AL15" s="198">
        <v>16.170000000000002</v>
      </c>
      <c r="AM15" s="198">
        <v>16.489999999999998</v>
      </c>
      <c r="AN15" s="199">
        <v>16.82</v>
      </c>
      <c r="AO15" s="197">
        <v>27.1</v>
      </c>
      <c r="AP15" s="198">
        <v>27.64</v>
      </c>
      <c r="AQ15" s="198">
        <v>28.2</v>
      </c>
      <c r="AR15" s="199">
        <v>28.76</v>
      </c>
    </row>
    <row r="16" spans="1:46" x14ac:dyDescent="0.25">
      <c r="A16" s="50"/>
      <c r="B16" s="29">
        <f t="shared" si="0"/>
        <v>2032</v>
      </c>
      <c r="C16" s="219">
        <v>0</v>
      </c>
      <c r="D16" s="219">
        <v>0</v>
      </c>
      <c r="E16" s="219">
        <f ca="1">OFFSET($P$10,MATCH(E$10,$C$10:$G$10,0),$D$6+ROW($B14)-10,1,1)</f>
        <v>27.64</v>
      </c>
      <c r="F16" s="219">
        <f ca="1">OFFSET($P$10,MATCH(F$10,$C$10:$G$10,0),$D$6+ROW($B13)-10,1,1)</f>
        <v>27.64</v>
      </c>
      <c r="G16" s="219">
        <f ca="1">OFFSET($P$10,MATCH(G$10,$C$10:$G$10,0),$D$6+ROW($B12)-10,1,1)</f>
        <v>27.64</v>
      </c>
      <c r="H16" s="50"/>
      <c r="I16" s="221">
        <f t="shared" si="1"/>
        <v>2032</v>
      </c>
      <c r="J16" s="217">
        <v>0</v>
      </c>
      <c r="K16" s="217">
        <v>0</v>
      </c>
      <c r="L16" s="217">
        <f ca="1">OFFSET($P$20,MATCH(L$10,$J$10:$N$10,0),$D$6+ROW($I14)-10,1,1)</f>
        <v>30.9</v>
      </c>
      <c r="M16" s="217">
        <f ca="1">OFFSET($P$20,MATCH(M$10,$J$10:$N$10,0),$D$6+ROW($I13)-10,1,1)</f>
        <v>34</v>
      </c>
      <c r="N16" s="217">
        <f ca="1">OFFSET($P$20,MATCH(N$10,$J$10:$N$10,0),$D$6+ROW($I12)-10,1,1)</f>
        <v>27.4</v>
      </c>
      <c r="O16" s="65"/>
      <c r="AH16" s="50"/>
    </row>
    <row r="17" spans="1:44" ht="16.5" thickBot="1" x14ac:dyDescent="0.3">
      <c r="A17" s="50"/>
      <c r="B17" s="29">
        <f t="shared" si="0"/>
        <v>2033</v>
      </c>
      <c r="C17" s="219">
        <v>0</v>
      </c>
      <c r="D17" s="219">
        <v>0</v>
      </c>
      <c r="E17" s="219">
        <v>0</v>
      </c>
      <c r="F17" s="219">
        <f ca="1">OFFSET($P$10,MATCH(F$10,$C$10:$G$10,0),$D$6+ROW($B14)-10,1,1)</f>
        <v>28.2</v>
      </c>
      <c r="G17" s="219">
        <f ca="1">OFFSET($P$10,MATCH(G$10,$C$10:$G$10,0),$D$6+ROW($B13)-10,1,1)</f>
        <v>28.2</v>
      </c>
      <c r="H17" s="50"/>
      <c r="I17" s="221">
        <f t="shared" si="1"/>
        <v>2033</v>
      </c>
      <c r="J17" s="217">
        <v>0</v>
      </c>
      <c r="K17" s="217">
        <v>0</v>
      </c>
      <c r="L17" s="217">
        <v>0</v>
      </c>
      <c r="M17" s="217">
        <f ca="1">OFFSET($P$20,MATCH(M$10,$J$10:$N$10,0),$D$6+ROW($I14)-10,1,1)</f>
        <v>32.090000000000003</v>
      </c>
      <c r="N17" s="217">
        <f ca="1">OFFSET($P$20,MATCH(N$10,$J$10:$N$10,0),$D$6+ROW($I13)-10,1,1)</f>
        <v>35.31</v>
      </c>
      <c r="O17" s="65"/>
      <c r="P17" s="90" t="s">
        <v>265</v>
      </c>
      <c r="AH17" s="50"/>
    </row>
    <row r="18" spans="1:44" ht="15.75" thickBot="1" x14ac:dyDescent="0.3">
      <c r="A18" s="50"/>
      <c r="B18" s="29">
        <f t="shared" si="0"/>
        <v>2034</v>
      </c>
      <c r="C18" s="219">
        <v>0</v>
      </c>
      <c r="D18" s="219">
        <v>0</v>
      </c>
      <c r="E18" s="219">
        <v>0</v>
      </c>
      <c r="F18" s="219">
        <v>0</v>
      </c>
      <c r="G18" s="219">
        <f ca="1">OFFSET($P$10,MATCH(G$10,$C$10:$G$10,0),$D$6+ROW($B14)-10,1,1)</f>
        <v>28.76</v>
      </c>
      <c r="H18" s="50"/>
      <c r="I18" s="221">
        <f t="shared" si="1"/>
        <v>2034</v>
      </c>
      <c r="J18" s="217">
        <v>0</v>
      </c>
      <c r="K18" s="217">
        <v>0</v>
      </c>
      <c r="L18" s="217">
        <v>0</v>
      </c>
      <c r="M18" s="217">
        <v>0</v>
      </c>
      <c r="N18" s="217">
        <f ca="1">OFFSET($P$20,MATCH(N$10,$J$10:$N$10,0),$D$6+ROW($I14)-10,1,1)</f>
        <v>33.36</v>
      </c>
      <c r="O18" s="65"/>
      <c r="P18" s="375" t="s">
        <v>275</v>
      </c>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7"/>
    </row>
    <row r="19" spans="1:44" x14ac:dyDescent="0.25">
      <c r="A19" s="50"/>
      <c r="B19" s="29">
        <f t="shared" si="0"/>
        <v>2035</v>
      </c>
      <c r="C19" s="219">
        <v>0</v>
      </c>
      <c r="D19" s="219">
        <v>0</v>
      </c>
      <c r="E19" s="219">
        <v>0</v>
      </c>
      <c r="F19" s="219">
        <v>0</v>
      </c>
      <c r="G19" s="219">
        <v>0</v>
      </c>
      <c r="H19" s="50"/>
      <c r="I19" s="221">
        <f t="shared" si="1"/>
        <v>2035</v>
      </c>
      <c r="J19" s="217">
        <v>0</v>
      </c>
      <c r="K19" s="217">
        <v>0</v>
      </c>
      <c r="L19" s="217">
        <v>0</v>
      </c>
      <c r="M19" s="217">
        <v>0</v>
      </c>
      <c r="N19" s="217">
        <v>0</v>
      </c>
      <c r="O19" s="65"/>
      <c r="P19" s="378" t="s">
        <v>14</v>
      </c>
      <c r="Q19" s="373" t="s">
        <v>91</v>
      </c>
      <c r="R19" s="373"/>
      <c r="S19" s="373"/>
      <c r="T19" s="374"/>
      <c r="U19" s="373" t="s">
        <v>97</v>
      </c>
      <c r="V19" s="373"/>
      <c r="W19" s="373"/>
      <c r="X19" s="374"/>
      <c r="Y19" s="373" t="s">
        <v>85</v>
      </c>
      <c r="Z19" s="373"/>
      <c r="AA19" s="373"/>
      <c r="AB19" s="374"/>
      <c r="AC19" s="373" t="s">
        <v>88</v>
      </c>
      <c r="AD19" s="373"/>
      <c r="AE19" s="373"/>
      <c r="AF19" s="374"/>
      <c r="AG19" s="373" t="s">
        <v>93</v>
      </c>
      <c r="AH19" s="373"/>
      <c r="AI19" s="373"/>
      <c r="AJ19" s="374"/>
      <c r="AK19" s="373" t="s">
        <v>95</v>
      </c>
      <c r="AL19" s="373"/>
      <c r="AM19" s="373"/>
      <c r="AN19" s="374"/>
      <c r="AO19" s="373" t="s">
        <v>270</v>
      </c>
      <c r="AP19" s="373"/>
      <c r="AQ19" s="373"/>
      <c r="AR19" s="374"/>
    </row>
    <row r="20" spans="1:44" x14ac:dyDescent="0.25">
      <c r="A20" s="50"/>
      <c r="B20" s="29">
        <f t="shared" si="0"/>
        <v>2036</v>
      </c>
      <c r="C20" s="219">
        <v>0</v>
      </c>
      <c r="D20" s="219">
        <v>0</v>
      </c>
      <c r="E20" s="219">
        <v>0</v>
      </c>
      <c r="F20" s="219">
        <v>0</v>
      </c>
      <c r="G20" s="219">
        <v>0</v>
      </c>
      <c r="H20" s="50"/>
      <c r="I20" s="221">
        <f t="shared" si="1"/>
        <v>2036</v>
      </c>
      <c r="J20" s="217">
        <v>0</v>
      </c>
      <c r="K20" s="217">
        <v>0</v>
      </c>
      <c r="L20" s="217">
        <v>0</v>
      </c>
      <c r="M20" s="217">
        <v>0</v>
      </c>
      <c r="N20" s="217">
        <v>0</v>
      </c>
      <c r="O20" s="65"/>
      <c r="P20" s="379"/>
      <c r="Q20" s="104" t="s">
        <v>271</v>
      </c>
      <c r="R20" s="105" t="s">
        <v>272</v>
      </c>
      <c r="S20" s="105" t="s">
        <v>273</v>
      </c>
      <c r="T20" s="106" t="s">
        <v>274</v>
      </c>
      <c r="U20" s="104" t="s">
        <v>271</v>
      </c>
      <c r="V20" s="105" t="s">
        <v>272</v>
      </c>
      <c r="W20" s="105" t="s">
        <v>273</v>
      </c>
      <c r="X20" s="106" t="s">
        <v>274</v>
      </c>
      <c r="Y20" s="104" t="s">
        <v>271</v>
      </c>
      <c r="Z20" s="105" t="s">
        <v>272</v>
      </c>
      <c r="AA20" s="105" t="s">
        <v>273</v>
      </c>
      <c r="AB20" s="106" t="s">
        <v>274</v>
      </c>
      <c r="AC20" s="104" t="s">
        <v>271</v>
      </c>
      <c r="AD20" s="105" t="s">
        <v>272</v>
      </c>
      <c r="AE20" s="105" t="s">
        <v>273</v>
      </c>
      <c r="AF20" s="106" t="s">
        <v>274</v>
      </c>
      <c r="AG20" s="104" t="s">
        <v>271</v>
      </c>
      <c r="AH20" s="105" t="s">
        <v>272</v>
      </c>
      <c r="AI20" s="105" t="s">
        <v>273</v>
      </c>
      <c r="AJ20" s="106" t="s">
        <v>274</v>
      </c>
      <c r="AK20" s="104" t="s">
        <v>271</v>
      </c>
      <c r="AL20" s="105" t="s">
        <v>272</v>
      </c>
      <c r="AM20" s="105" t="s">
        <v>273</v>
      </c>
      <c r="AN20" s="106" t="s">
        <v>274</v>
      </c>
      <c r="AO20" s="104" t="s">
        <v>271</v>
      </c>
      <c r="AP20" s="105" t="s">
        <v>272</v>
      </c>
      <c r="AQ20" s="105" t="s">
        <v>273</v>
      </c>
      <c r="AR20" s="106" t="s">
        <v>274</v>
      </c>
    </row>
    <row r="21" spans="1:44" x14ac:dyDescent="0.25">
      <c r="A21" s="50"/>
      <c r="B21" s="29">
        <f t="shared" si="0"/>
        <v>2037</v>
      </c>
      <c r="C21" s="219">
        <v>0</v>
      </c>
      <c r="D21" s="219">
        <v>0</v>
      </c>
      <c r="E21" s="219">
        <v>0</v>
      </c>
      <c r="F21" s="219">
        <v>0</v>
      </c>
      <c r="G21" s="219">
        <v>0</v>
      </c>
      <c r="H21" s="50"/>
      <c r="I21" s="221">
        <f t="shared" si="1"/>
        <v>2037</v>
      </c>
      <c r="J21" s="218">
        <v>0</v>
      </c>
      <c r="K21" s="218">
        <v>0</v>
      </c>
      <c r="L21" s="218">
        <v>0</v>
      </c>
      <c r="M21" s="218">
        <v>0</v>
      </c>
      <c r="N21" s="218">
        <v>0</v>
      </c>
      <c r="O21" s="65"/>
      <c r="P21" s="88" t="s">
        <v>116</v>
      </c>
      <c r="Q21" s="97">
        <v>14.65</v>
      </c>
      <c r="R21" s="195">
        <v>24.23</v>
      </c>
      <c r="S21" s="195">
        <v>31.97</v>
      </c>
      <c r="T21" s="196">
        <v>30.62</v>
      </c>
      <c r="U21" s="97">
        <v>14.72</v>
      </c>
      <c r="V21" s="195">
        <v>24.39</v>
      </c>
      <c r="W21" s="195">
        <v>32.25</v>
      </c>
      <c r="X21" s="196">
        <v>30.98</v>
      </c>
      <c r="Y21" s="97">
        <v>14.69</v>
      </c>
      <c r="Z21" s="195">
        <v>24.28</v>
      </c>
      <c r="AA21" s="195">
        <v>32</v>
      </c>
      <c r="AB21" s="196">
        <v>30.64</v>
      </c>
      <c r="AC21" s="97">
        <v>13.86</v>
      </c>
      <c r="AD21" s="195">
        <v>22.45</v>
      </c>
      <c r="AE21" s="195">
        <v>29.02</v>
      </c>
      <c r="AF21" s="196">
        <v>27.27</v>
      </c>
      <c r="AG21" s="97">
        <v>14.79</v>
      </c>
      <c r="AH21" s="195">
        <v>24.53</v>
      </c>
      <c r="AI21" s="195">
        <v>32.47</v>
      </c>
      <c r="AJ21" s="196">
        <v>31.2</v>
      </c>
      <c r="AK21" s="97">
        <v>14.73</v>
      </c>
      <c r="AL21" s="195">
        <v>24.38</v>
      </c>
      <c r="AM21" s="195">
        <v>32.24</v>
      </c>
      <c r="AN21" s="196">
        <v>30.98</v>
      </c>
      <c r="AO21" s="97">
        <v>13.25</v>
      </c>
      <c r="AP21" s="195">
        <v>21.65</v>
      </c>
      <c r="AQ21" s="195">
        <v>28.61</v>
      </c>
      <c r="AR21" s="196">
        <v>27.47</v>
      </c>
    </row>
    <row r="22" spans="1:44" x14ac:dyDescent="0.25">
      <c r="A22" s="50"/>
      <c r="B22" s="29">
        <f t="shared" si="0"/>
        <v>2038</v>
      </c>
      <c r="C22" s="219">
        <v>0</v>
      </c>
      <c r="D22" s="219">
        <v>0</v>
      </c>
      <c r="E22" s="219">
        <v>0</v>
      </c>
      <c r="F22" s="219">
        <v>0</v>
      </c>
      <c r="G22" s="219">
        <v>0</v>
      </c>
      <c r="H22" s="50"/>
      <c r="I22" s="221">
        <f t="shared" si="1"/>
        <v>2038</v>
      </c>
      <c r="J22" s="218">
        <v>0</v>
      </c>
      <c r="K22" s="218">
        <v>0</v>
      </c>
      <c r="L22" s="218">
        <v>0</v>
      </c>
      <c r="M22" s="218">
        <v>0</v>
      </c>
      <c r="N22" s="218">
        <v>0</v>
      </c>
      <c r="O22" s="65"/>
      <c r="P22" s="88" t="s">
        <v>130</v>
      </c>
      <c r="Q22" s="97">
        <v>15.77</v>
      </c>
      <c r="R22" s="195">
        <v>25.77</v>
      </c>
      <c r="S22" s="195">
        <v>33.68</v>
      </c>
      <c r="T22" s="196">
        <v>32.26</v>
      </c>
      <c r="U22" s="97">
        <v>15.87</v>
      </c>
      <c r="V22" s="195">
        <v>25.99</v>
      </c>
      <c r="W22" s="195">
        <v>34.08</v>
      </c>
      <c r="X22" s="196">
        <v>32.75</v>
      </c>
      <c r="Y22" s="97">
        <v>15.81</v>
      </c>
      <c r="Z22" s="195">
        <v>25.79</v>
      </c>
      <c r="AA22" s="195">
        <v>33.700000000000003</v>
      </c>
      <c r="AB22" s="196">
        <v>32.26</v>
      </c>
      <c r="AC22" s="97">
        <v>14.61</v>
      </c>
      <c r="AD22" s="195">
        <v>23.39</v>
      </c>
      <c r="AE22" s="195">
        <v>29.99</v>
      </c>
      <c r="AF22" s="196">
        <v>28.16</v>
      </c>
      <c r="AG22" s="97">
        <v>15.96</v>
      </c>
      <c r="AH22" s="195">
        <v>26.17</v>
      </c>
      <c r="AI22" s="195">
        <v>34.32</v>
      </c>
      <c r="AJ22" s="196">
        <v>32.97</v>
      </c>
      <c r="AK22" s="97">
        <v>15.87</v>
      </c>
      <c r="AL22" s="195">
        <v>25.98</v>
      </c>
      <c r="AM22" s="195">
        <v>34.08</v>
      </c>
      <c r="AN22" s="196">
        <v>32.770000000000003</v>
      </c>
      <c r="AO22" s="97">
        <v>14.09</v>
      </c>
      <c r="AP22" s="195">
        <v>23.06</v>
      </c>
      <c r="AQ22" s="195">
        <v>30.21</v>
      </c>
      <c r="AR22" s="196">
        <v>29.06</v>
      </c>
    </row>
    <row r="23" spans="1:44" x14ac:dyDescent="0.25">
      <c r="A23" s="50"/>
      <c r="B23" s="29">
        <f t="shared" si="0"/>
        <v>2039</v>
      </c>
      <c r="C23" s="219">
        <v>0</v>
      </c>
      <c r="D23" s="219">
        <v>0</v>
      </c>
      <c r="E23" s="219">
        <v>0</v>
      </c>
      <c r="F23" s="219">
        <v>0</v>
      </c>
      <c r="G23" s="219">
        <v>0</v>
      </c>
      <c r="H23" s="50"/>
      <c r="I23" s="221">
        <f t="shared" si="1"/>
        <v>2039</v>
      </c>
      <c r="J23" s="218">
        <v>0</v>
      </c>
      <c r="K23" s="218">
        <v>0</v>
      </c>
      <c r="L23" s="218">
        <v>0</v>
      </c>
      <c r="M23" s="218">
        <v>0</v>
      </c>
      <c r="N23" s="218">
        <v>0</v>
      </c>
      <c r="O23" s="65"/>
      <c r="P23" s="88" t="s">
        <v>131</v>
      </c>
      <c r="Q23" s="97">
        <v>16.77</v>
      </c>
      <c r="R23" s="195">
        <v>27.15</v>
      </c>
      <c r="S23" s="195">
        <v>35.49</v>
      </c>
      <c r="T23" s="196">
        <v>34.130000000000003</v>
      </c>
      <c r="U23" s="97">
        <v>16.920000000000002</v>
      </c>
      <c r="V23" s="195">
        <v>27.46</v>
      </c>
      <c r="W23" s="195">
        <v>36.020000000000003</v>
      </c>
      <c r="X23" s="196">
        <v>34.78</v>
      </c>
      <c r="Y23" s="97">
        <v>16.78</v>
      </c>
      <c r="Z23" s="195">
        <v>27.16</v>
      </c>
      <c r="AA23" s="195">
        <v>35.479999999999997</v>
      </c>
      <c r="AB23" s="196">
        <v>34.119999999999997</v>
      </c>
      <c r="AC23" s="97">
        <v>15.22</v>
      </c>
      <c r="AD23" s="195">
        <v>24.17</v>
      </c>
      <c r="AE23" s="195">
        <v>30.98</v>
      </c>
      <c r="AF23" s="196">
        <v>29.17</v>
      </c>
      <c r="AG23" s="97">
        <v>17.03</v>
      </c>
      <c r="AH23" s="195">
        <v>27.66</v>
      </c>
      <c r="AI23" s="195">
        <v>36.270000000000003</v>
      </c>
      <c r="AJ23" s="196">
        <v>34.99</v>
      </c>
      <c r="AK23" s="97">
        <v>16.91</v>
      </c>
      <c r="AL23" s="195">
        <v>27.46</v>
      </c>
      <c r="AM23" s="195">
        <v>36.049999999999997</v>
      </c>
      <c r="AN23" s="196">
        <v>34.83</v>
      </c>
      <c r="AO23" s="97">
        <v>15.01</v>
      </c>
      <c r="AP23" s="195">
        <v>24.35</v>
      </c>
      <c r="AQ23" s="195">
        <v>31.97</v>
      </c>
      <c r="AR23" s="196">
        <v>30.9</v>
      </c>
    </row>
    <row r="24" spans="1:44" x14ac:dyDescent="0.25">
      <c r="A24" s="50"/>
      <c r="B24" s="29">
        <f t="shared" si="0"/>
        <v>2040</v>
      </c>
      <c r="C24" s="219">
        <v>0</v>
      </c>
      <c r="D24" s="219">
        <v>0</v>
      </c>
      <c r="E24" s="219">
        <v>0</v>
      </c>
      <c r="F24" s="219">
        <v>0</v>
      </c>
      <c r="G24" s="219">
        <v>0</v>
      </c>
      <c r="H24" s="50"/>
      <c r="I24" s="221">
        <f t="shared" si="1"/>
        <v>2040</v>
      </c>
      <c r="J24" s="218">
        <v>0</v>
      </c>
      <c r="K24" s="218">
        <v>0</v>
      </c>
      <c r="L24" s="218">
        <v>0</v>
      </c>
      <c r="M24" s="218">
        <v>0</v>
      </c>
      <c r="N24" s="218">
        <v>0</v>
      </c>
      <c r="O24" s="65"/>
      <c r="P24" s="88" t="s">
        <v>132</v>
      </c>
      <c r="Q24" s="97">
        <v>17.670000000000002</v>
      </c>
      <c r="R24" s="195">
        <v>28.6</v>
      </c>
      <c r="S24" s="195">
        <v>37.549999999999997</v>
      </c>
      <c r="T24" s="196">
        <v>35.25</v>
      </c>
      <c r="U24" s="97">
        <v>17.88</v>
      </c>
      <c r="V24" s="195">
        <v>29.03</v>
      </c>
      <c r="W24" s="195">
        <v>38.26</v>
      </c>
      <c r="X24" s="196">
        <v>36.06</v>
      </c>
      <c r="Y24" s="97">
        <v>17.68</v>
      </c>
      <c r="Z24" s="195">
        <v>28.6</v>
      </c>
      <c r="AA24" s="195">
        <v>37.53</v>
      </c>
      <c r="AB24" s="196">
        <v>35.17</v>
      </c>
      <c r="AC24" s="97">
        <v>15.73</v>
      </c>
      <c r="AD24" s="195">
        <v>24.96</v>
      </c>
      <c r="AE24" s="195">
        <v>32.090000000000003</v>
      </c>
      <c r="AF24" s="196">
        <v>29.48</v>
      </c>
      <c r="AG24" s="97">
        <v>18</v>
      </c>
      <c r="AH24" s="195">
        <v>29.23</v>
      </c>
      <c r="AI24" s="195">
        <v>38.49</v>
      </c>
      <c r="AJ24" s="196">
        <v>36.25</v>
      </c>
      <c r="AK24" s="97">
        <v>17.87</v>
      </c>
      <c r="AL24" s="195">
        <v>29.05</v>
      </c>
      <c r="AM24" s="195">
        <v>38.31</v>
      </c>
      <c r="AN24" s="196">
        <v>36.14</v>
      </c>
      <c r="AO24" s="97">
        <v>15.85</v>
      </c>
      <c r="AP24" s="195">
        <v>25.76</v>
      </c>
      <c r="AQ24" s="195">
        <v>34</v>
      </c>
      <c r="AR24" s="196">
        <v>32.090000000000003</v>
      </c>
    </row>
    <row r="25" spans="1:44" ht="15.75" thickBot="1" x14ac:dyDescent="0.3">
      <c r="A25" s="50"/>
      <c r="B25" s="29">
        <f t="shared" si="0"/>
        <v>2041</v>
      </c>
      <c r="C25" s="219">
        <v>0</v>
      </c>
      <c r="D25" s="219">
        <v>0</v>
      </c>
      <c r="E25" s="219">
        <v>0</v>
      </c>
      <c r="F25" s="219">
        <v>0</v>
      </c>
      <c r="G25" s="219">
        <v>0</v>
      </c>
      <c r="H25" s="50"/>
      <c r="I25" s="221">
        <f t="shared" si="1"/>
        <v>2041</v>
      </c>
      <c r="J25" s="218">
        <v>0</v>
      </c>
      <c r="K25" s="218">
        <v>0</v>
      </c>
      <c r="L25" s="218">
        <v>0</v>
      </c>
      <c r="M25" s="218">
        <v>0</v>
      </c>
      <c r="N25" s="218">
        <v>0</v>
      </c>
      <c r="O25" s="65"/>
      <c r="P25" s="89" t="s">
        <v>133</v>
      </c>
      <c r="Q25" s="197">
        <v>18.61</v>
      </c>
      <c r="R25" s="198">
        <v>30.26</v>
      </c>
      <c r="S25" s="198">
        <v>38.770000000000003</v>
      </c>
      <c r="T25" s="199">
        <v>36.409999999999997</v>
      </c>
      <c r="U25" s="197">
        <v>18.899999999999999</v>
      </c>
      <c r="V25" s="198">
        <v>30.83</v>
      </c>
      <c r="W25" s="198">
        <v>39.67</v>
      </c>
      <c r="X25" s="199">
        <v>37.42</v>
      </c>
      <c r="Y25" s="197">
        <v>18.61</v>
      </c>
      <c r="Z25" s="198">
        <v>30.25</v>
      </c>
      <c r="AA25" s="198">
        <v>38.69</v>
      </c>
      <c r="AB25" s="199">
        <v>36.28</v>
      </c>
      <c r="AC25" s="197">
        <v>16.25</v>
      </c>
      <c r="AD25" s="198">
        <v>25.86</v>
      </c>
      <c r="AE25" s="198">
        <v>32.43</v>
      </c>
      <c r="AF25" s="199">
        <v>29.72</v>
      </c>
      <c r="AG25" s="197">
        <v>19.03</v>
      </c>
      <c r="AH25" s="198">
        <v>31.02</v>
      </c>
      <c r="AI25" s="198">
        <v>39.880000000000003</v>
      </c>
      <c r="AJ25" s="199">
        <v>37.58</v>
      </c>
      <c r="AK25" s="197">
        <v>18.91</v>
      </c>
      <c r="AL25" s="198">
        <v>30.88</v>
      </c>
      <c r="AM25" s="198">
        <v>39.75</v>
      </c>
      <c r="AN25" s="199">
        <v>37.5</v>
      </c>
      <c r="AO25" s="197">
        <v>16.77</v>
      </c>
      <c r="AP25" s="198">
        <v>27.4</v>
      </c>
      <c r="AQ25" s="198">
        <v>35.31</v>
      </c>
      <c r="AR25" s="199">
        <v>33.36</v>
      </c>
    </row>
    <row r="26" spans="1:44" x14ac:dyDescent="0.25">
      <c r="A26" s="50"/>
      <c r="B26" s="29">
        <f t="shared" si="0"/>
        <v>2042</v>
      </c>
      <c r="C26" s="219">
        <v>0</v>
      </c>
      <c r="D26" s="219">
        <v>0</v>
      </c>
      <c r="E26" s="219">
        <v>0</v>
      </c>
      <c r="F26" s="219">
        <v>0</v>
      </c>
      <c r="G26" s="219">
        <v>0</v>
      </c>
      <c r="H26" s="50"/>
      <c r="I26" s="221">
        <f t="shared" si="1"/>
        <v>2042</v>
      </c>
      <c r="J26" s="218">
        <v>0</v>
      </c>
      <c r="K26" s="218">
        <v>0</v>
      </c>
      <c r="L26" s="218">
        <v>0</v>
      </c>
      <c r="M26" s="218">
        <v>0</v>
      </c>
      <c r="N26" s="218">
        <v>0</v>
      </c>
      <c r="O26" s="65"/>
      <c r="AH26" s="50"/>
    </row>
    <row r="27" spans="1:44" x14ac:dyDescent="0.25">
      <c r="A27" s="50"/>
      <c r="B27" s="29">
        <f t="shared" si="0"/>
        <v>2043</v>
      </c>
      <c r="C27" s="219">
        <v>0</v>
      </c>
      <c r="D27" s="219">
        <v>0</v>
      </c>
      <c r="E27" s="219">
        <v>0</v>
      </c>
      <c r="F27" s="219">
        <v>0</v>
      </c>
      <c r="G27" s="219">
        <v>0</v>
      </c>
      <c r="H27" s="50"/>
      <c r="I27" s="221">
        <f t="shared" si="1"/>
        <v>2043</v>
      </c>
      <c r="J27" s="218">
        <v>0</v>
      </c>
      <c r="K27" s="218">
        <v>0</v>
      </c>
      <c r="L27" s="218">
        <v>0</v>
      </c>
      <c r="M27" s="218">
        <v>0</v>
      </c>
      <c r="N27" s="218">
        <v>0</v>
      </c>
      <c r="O27" s="65"/>
      <c r="AH27" s="50"/>
    </row>
    <row r="28" spans="1:44" x14ac:dyDescent="0.25">
      <c r="A28" s="50"/>
      <c r="B28" s="29">
        <f t="shared" si="0"/>
        <v>2044</v>
      </c>
      <c r="C28" s="219">
        <v>0</v>
      </c>
      <c r="D28" s="219">
        <v>0</v>
      </c>
      <c r="E28" s="219">
        <v>0</v>
      </c>
      <c r="F28" s="219">
        <v>0</v>
      </c>
      <c r="G28" s="219">
        <v>0</v>
      </c>
      <c r="H28" s="50"/>
      <c r="I28" s="221">
        <f t="shared" si="1"/>
        <v>2044</v>
      </c>
      <c r="J28" s="218">
        <v>0</v>
      </c>
      <c r="K28" s="218">
        <v>0</v>
      </c>
      <c r="L28" s="218">
        <v>0</v>
      </c>
      <c r="M28" s="218">
        <v>0</v>
      </c>
      <c r="N28" s="218">
        <v>0</v>
      </c>
      <c r="O28" s="65"/>
      <c r="AH28" s="50"/>
    </row>
    <row r="29" spans="1:44" x14ac:dyDescent="0.25">
      <c r="A29" s="50"/>
      <c r="B29" s="29">
        <f t="shared" si="0"/>
        <v>2045</v>
      </c>
      <c r="C29" s="219">
        <v>0</v>
      </c>
      <c r="D29" s="219">
        <v>0</v>
      </c>
      <c r="E29" s="219">
        <v>0</v>
      </c>
      <c r="F29" s="219">
        <v>0</v>
      </c>
      <c r="G29" s="219">
        <v>0</v>
      </c>
      <c r="H29" s="50"/>
      <c r="I29" s="221">
        <f t="shared" si="1"/>
        <v>2045</v>
      </c>
      <c r="J29" s="218">
        <v>0</v>
      </c>
      <c r="K29" s="218">
        <v>0</v>
      </c>
      <c r="L29" s="218">
        <v>0</v>
      </c>
      <c r="M29" s="218">
        <v>0</v>
      </c>
      <c r="N29" s="218">
        <v>0</v>
      </c>
      <c r="O29" s="65"/>
      <c r="AH29" s="50"/>
    </row>
    <row r="30" spans="1:44" x14ac:dyDescent="0.25">
      <c r="A30" s="50"/>
      <c r="B30" s="29">
        <f t="shared" si="0"/>
        <v>2046</v>
      </c>
      <c r="C30" s="219">
        <v>0</v>
      </c>
      <c r="D30" s="219">
        <v>0</v>
      </c>
      <c r="E30" s="219">
        <v>0</v>
      </c>
      <c r="F30" s="219">
        <v>0</v>
      </c>
      <c r="G30" s="219">
        <v>0</v>
      </c>
      <c r="H30" s="50"/>
      <c r="I30" s="221">
        <f t="shared" si="1"/>
        <v>2046</v>
      </c>
      <c r="J30" s="218">
        <v>0</v>
      </c>
      <c r="K30" s="218">
        <v>0</v>
      </c>
      <c r="L30" s="218">
        <v>0</v>
      </c>
      <c r="M30" s="218">
        <v>0</v>
      </c>
      <c r="N30" s="218">
        <v>0</v>
      </c>
      <c r="O30" s="65"/>
      <c r="AH30" s="50"/>
    </row>
    <row r="31" spans="1:44" x14ac:dyDescent="0.25">
      <c r="A31" s="50"/>
      <c r="B31" s="50"/>
      <c r="C31" s="50"/>
      <c r="D31" s="50"/>
      <c r="E31" s="50"/>
      <c r="F31" s="50"/>
      <c r="G31" s="50"/>
      <c r="H31" s="50"/>
      <c r="I31" s="50"/>
      <c r="J31" s="50"/>
      <c r="K31" s="50"/>
      <c r="L31" s="50"/>
      <c r="M31" s="50"/>
      <c r="N31" s="50"/>
      <c r="O31" s="50"/>
      <c r="AH31" s="50"/>
    </row>
    <row r="32" spans="1:44" x14ac:dyDescent="0.25">
      <c r="A32" s="50"/>
      <c r="B32" s="50"/>
      <c r="C32" s="50"/>
      <c r="D32" s="50"/>
      <c r="E32" s="50"/>
      <c r="F32" s="50"/>
      <c r="G32" s="50"/>
      <c r="H32" s="50"/>
      <c r="I32" s="50"/>
      <c r="J32" s="50"/>
      <c r="K32" s="50"/>
      <c r="L32" s="50"/>
      <c r="M32" s="50"/>
      <c r="N32" s="50"/>
      <c r="O32" s="50"/>
    </row>
    <row r="33" spans="2:14" ht="15.75" x14ac:dyDescent="0.25">
      <c r="B33" s="90" t="s">
        <v>266</v>
      </c>
      <c r="I33" s="90" t="s">
        <v>266</v>
      </c>
    </row>
    <row r="34" spans="2:14" x14ac:dyDescent="0.25">
      <c r="B34" s="380" t="s">
        <v>217</v>
      </c>
      <c r="C34" s="215" t="s">
        <v>276</v>
      </c>
      <c r="D34" s="215"/>
      <c r="E34" s="215"/>
      <c r="F34" s="215"/>
      <c r="G34" s="215"/>
      <c r="I34" s="380" t="s">
        <v>217</v>
      </c>
      <c r="J34" s="215" t="s">
        <v>277</v>
      </c>
      <c r="K34" s="215"/>
      <c r="L34" s="215"/>
      <c r="M34" s="215"/>
      <c r="N34" s="215"/>
    </row>
    <row r="35" spans="2:14" x14ac:dyDescent="0.25">
      <c r="B35" s="380"/>
      <c r="C35" s="29" t="str">
        <f>"PY"&amp;Start_Year_PY</f>
        <v>PY18</v>
      </c>
      <c r="D35" s="29" t="str">
        <f>"PY"&amp;Start_Year_PY+1</f>
        <v>PY19</v>
      </c>
      <c r="E35" s="29" t="str">
        <f>"PY"&amp;Start_Year_PY+2</f>
        <v>PY20</v>
      </c>
      <c r="F35" s="29" t="str">
        <f>"PY"&amp;Start_Year_PY+3</f>
        <v>PY21</v>
      </c>
      <c r="G35" s="29" t="str">
        <f>"PY"&amp;Start_Year_PY+4</f>
        <v>PY22</v>
      </c>
      <c r="I35" s="380"/>
      <c r="J35" s="29" t="str">
        <f>"PY"&amp;Start_Year_PY</f>
        <v>PY18</v>
      </c>
      <c r="K35" s="29" t="str">
        <f>"PY"&amp;Start_Year_PY+1</f>
        <v>PY19</v>
      </c>
      <c r="L35" s="29" t="str">
        <f>"PY"&amp;Start_Year_PY+2</f>
        <v>PY20</v>
      </c>
      <c r="M35" s="29" t="str">
        <f>"PY"&amp;Start_Year_PY+3</f>
        <v>PY21</v>
      </c>
      <c r="N35" s="29" t="str">
        <f>"PY"&amp;Start_Year_PY+4</f>
        <v>PY22</v>
      </c>
    </row>
    <row r="36" spans="2:14" x14ac:dyDescent="0.25">
      <c r="B36" s="29">
        <f>Start_Year</f>
        <v>2027</v>
      </c>
      <c r="C36" s="216">
        <f ca="1">C11*$G$5</f>
        <v>12.52</v>
      </c>
      <c r="D36" s="216">
        <f t="shared" ref="D36:G36" si="2">D11*$G$5</f>
        <v>0</v>
      </c>
      <c r="E36" s="216">
        <f t="shared" si="2"/>
        <v>0</v>
      </c>
      <c r="F36" s="216">
        <f t="shared" si="2"/>
        <v>0</v>
      </c>
      <c r="G36" s="216">
        <f t="shared" si="2"/>
        <v>0</v>
      </c>
      <c r="I36" s="29">
        <f>Start_Year</f>
        <v>2027</v>
      </c>
      <c r="J36" s="216">
        <f ca="1">C11*$G$6</f>
        <v>12.52</v>
      </c>
      <c r="K36" s="216">
        <f t="shared" ref="K36:N36" si="3">D11*$G$6</f>
        <v>0</v>
      </c>
      <c r="L36" s="216">
        <f t="shared" si="3"/>
        <v>0</v>
      </c>
      <c r="M36" s="216">
        <f t="shared" si="3"/>
        <v>0</v>
      </c>
      <c r="N36" s="216">
        <f t="shared" si="3"/>
        <v>0</v>
      </c>
    </row>
    <row r="37" spans="2:14" x14ac:dyDescent="0.25">
      <c r="B37" s="29">
        <f>B36+1</f>
        <v>2028</v>
      </c>
      <c r="C37" s="216">
        <f t="shared" ref="C37:G37" ca="1" si="4">C12*$G$5</f>
        <v>12.77</v>
      </c>
      <c r="D37" s="216">
        <f t="shared" ca="1" si="4"/>
        <v>12.77</v>
      </c>
      <c r="E37" s="216">
        <f t="shared" si="4"/>
        <v>0</v>
      </c>
      <c r="F37" s="216">
        <f t="shared" si="4"/>
        <v>0</v>
      </c>
      <c r="G37" s="216">
        <f t="shared" si="4"/>
        <v>0</v>
      </c>
      <c r="I37" s="29">
        <f>I36+1</f>
        <v>2028</v>
      </c>
      <c r="J37" s="216">
        <f t="shared" ref="J37:J55" ca="1" si="5">C12*$G$6</f>
        <v>12.77</v>
      </c>
      <c r="K37" s="216">
        <f t="shared" ref="K37:K55" ca="1" si="6">D12*$G$6</f>
        <v>12.77</v>
      </c>
      <c r="L37" s="216">
        <f t="shared" ref="L37:L55" si="7">E12*$G$6</f>
        <v>0</v>
      </c>
      <c r="M37" s="216">
        <f t="shared" ref="M37:M55" si="8">F12*$G$6</f>
        <v>0</v>
      </c>
      <c r="N37" s="216">
        <f t="shared" ref="N37:N55" si="9">G12*$G$6</f>
        <v>0</v>
      </c>
    </row>
    <row r="38" spans="2:14" x14ac:dyDescent="0.25">
      <c r="B38" s="29">
        <f t="shared" ref="B38:B55" si="10">B37+1</f>
        <v>2029</v>
      </c>
      <c r="C38" s="216">
        <f t="shared" ref="C38:G38" ca="1" si="11">C13*$G$5</f>
        <v>13.025</v>
      </c>
      <c r="D38" s="216">
        <f t="shared" ca="1" si="11"/>
        <v>13.025</v>
      </c>
      <c r="E38" s="216">
        <f t="shared" ca="1" si="11"/>
        <v>13.025</v>
      </c>
      <c r="F38" s="216">
        <f t="shared" si="11"/>
        <v>0</v>
      </c>
      <c r="G38" s="216">
        <f t="shared" si="11"/>
        <v>0</v>
      </c>
      <c r="I38" s="29">
        <f t="shared" ref="I38:I55" si="12">I37+1</f>
        <v>2029</v>
      </c>
      <c r="J38" s="216">
        <f t="shared" ca="1" si="5"/>
        <v>13.025</v>
      </c>
      <c r="K38" s="216">
        <f t="shared" ca="1" si="6"/>
        <v>13.025</v>
      </c>
      <c r="L38" s="216">
        <f t="shared" ca="1" si="7"/>
        <v>13.025</v>
      </c>
      <c r="M38" s="216">
        <f t="shared" si="8"/>
        <v>0</v>
      </c>
      <c r="N38" s="216">
        <f t="shared" si="9"/>
        <v>0</v>
      </c>
    </row>
    <row r="39" spans="2:14" x14ac:dyDescent="0.25">
      <c r="B39" s="29">
        <f t="shared" si="10"/>
        <v>2030</v>
      </c>
      <c r="C39" s="216">
        <f t="shared" ref="C39:G39" ca="1" si="13">C14*$G$5</f>
        <v>13.285</v>
      </c>
      <c r="D39" s="216">
        <f t="shared" ca="1" si="13"/>
        <v>13.285</v>
      </c>
      <c r="E39" s="216">
        <f t="shared" ca="1" si="13"/>
        <v>13.285</v>
      </c>
      <c r="F39" s="216">
        <f t="shared" ca="1" si="13"/>
        <v>13.285</v>
      </c>
      <c r="G39" s="216">
        <f t="shared" si="13"/>
        <v>0</v>
      </c>
      <c r="I39" s="29">
        <f t="shared" si="12"/>
        <v>2030</v>
      </c>
      <c r="J39" s="216">
        <f t="shared" ca="1" si="5"/>
        <v>13.285</v>
      </c>
      <c r="K39" s="216">
        <f t="shared" ca="1" si="6"/>
        <v>13.285</v>
      </c>
      <c r="L39" s="216">
        <f t="shared" ca="1" si="7"/>
        <v>13.285</v>
      </c>
      <c r="M39" s="216">
        <f t="shared" ca="1" si="8"/>
        <v>13.285</v>
      </c>
      <c r="N39" s="216">
        <f t="shared" si="9"/>
        <v>0</v>
      </c>
    </row>
    <row r="40" spans="2:14" x14ac:dyDescent="0.25">
      <c r="B40" s="29">
        <f t="shared" si="10"/>
        <v>2031</v>
      </c>
      <c r="C40" s="217">
        <f t="shared" ref="C40:G40" si="14">C15*$G$5</f>
        <v>0</v>
      </c>
      <c r="D40" s="217">
        <f t="shared" ca="1" si="14"/>
        <v>13.55</v>
      </c>
      <c r="E40" s="217">
        <f t="shared" ca="1" si="14"/>
        <v>13.55</v>
      </c>
      <c r="F40" s="217">
        <f t="shared" ca="1" si="14"/>
        <v>13.55</v>
      </c>
      <c r="G40" s="217">
        <f t="shared" ca="1" si="14"/>
        <v>13.55</v>
      </c>
      <c r="I40" s="29">
        <f t="shared" si="12"/>
        <v>2031</v>
      </c>
      <c r="J40" s="217">
        <f t="shared" si="5"/>
        <v>0</v>
      </c>
      <c r="K40" s="217">
        <f t="shared" ca="1" si="6"/>
        <v>13.55</v>
      </c>
      <c r="L40" s="217">
        <f t="shared" ca="1" si="7"/>
        <v>13.55</v>
      </c>
      <c r="M40" s="217">
        <f t="shared" ca="1" si="8"/>
        <v>13.55</v>
      </c>
      <c r="N40" s="217">
        <f t="shared" ca="1" si="9"/>
        <v>13.55</v>
      </c>
    </row>
    <row r="41" spans="2:14" x14ac:dyDescent="0.25">
      <c r="B41" s="29">
        <f t="shared" si="10"/>
        <v>2032</v>
      </c>
      <c r="C41" s="217">
        <f t="shared" ref="C41:G41" si="15">C16*$G$5</f>
        <v>0</v>
      </c>
      <c r="D41" s="217">
        <f t="shared" si="15"/>
        <v>0</v>
      </c>
      <c r="E41" s="217">
        <f t="shared" ca="1" si="15"/>
        <v>13.82</v>
      </c>
      <c r="F41" s="217">
        <f t="shared" ca="1" si="15"/>
        <v>13.82</v>
      </c>
      <c r="G41" s="217">
        <f t="shared" ca="1" si="15"/>
        <v>13.82</v>
      </c>
      <c r="I41" s="29">
        <f t="shared" si="12"/>
        <v>2032</v>
      </c>
      <c r="J41" s="217">
        <f t="shared" si="5"/>
        <v>0</v>
      </c>
      <c r="K41" s="217">
        <f t="shared" si="6"/>
        <v>0</v>
      </c>
      <c r="L41" s="217">
        <f t="shared" ca="1" si="7"/>
        <v>13.82</v>
      </c>
      <c r="M41" s="217">
        <f t="shared" ca="1" si="8"/>
        <v>13.82</v>
      </c>
      <c r="N41" s="217">
        <f t="shared" ca="1" si="9"/>
        <v>13.82</v>
      </c>
    </row>
    <row r="42" spans="2:14" x14ac:dyDescent="0.25">
      <c r="B42" s="29">
        <f t="shared" si="10"/>
        <v>2033</v>
      </c>
      <c r="C42" s="217">
        <f t="shared" ref="C42:G42" si="16">C17*$G$5</f>
        <v>0</v>
      </c>
      <c r="D42" s="217">
        <f t="shared" si="16"/>
        <v>0</v>
      </c>
      <c r="E42" s="217">
        <f t="shared" si="16"/>
        <v>0</v>
      </c>
      <c r="F42" s="217">
        <f t="shared" ca="1" si="16"/>
        <v>14.1</v>
      </c>
      <c r="G42" s="217">
        <f t="shared" ca="1" si="16"/>
        <v>14.1</v>
      </c>
      <c r="I42" s="29">
        <f t="shared" si="12"/>
        <v>2033</v>
      </c>
      <c r="J42" s="217">
        <f t="shared" si="5"/>
        <v>0</v>
      </c>
      <c r="K42" s="217">
        <f t="shared" si="6"/>
        <v>0</v>
      </c>
      <c r="L42" s="217">
        <f t="shared" si="7"/>
        <v>0</v>
      </c>
      <c r="M42" s="217">
        <f t="shared" ca="1" si="8"/>
        <v>14.1</v>
      </c>
      <c r="N42" s="217">
        <f t="shared" ca="1" si="9"/>
        <v>14.1</v>
      </c>
    </row>
    <row r="43" spans="2:14" x14ac:dyDescent="0.25">
      <c r="B43" s="29">
        <f t="shared" si="10"/>
        <v>2034</v>
      </c>
      <c r="C43" s="217">
        <f t="shared" ref="C43:G43" si="17">C18*$G$5</f>
        <v>0</v>
      </c>
      <c r="D43" s="217">
        <f t="shared" si="17"/>
        <v>0</v>
      </c>
      <c r="E43" s="217">
        <f t="shared" si="17"/>
        <v>0</v>
      </c>
      <c r="F43" s="217">
        <f t="shared" si="17"/>
        <v>0</v>
      </c>
      <c r="G43" s="217">
        <f t="shared" ca="1" si="17"/>
        <v>14.38</v>
      </c>
      <c r="I43" s="29">
        <f t="shared" si="12"/>
        <v>2034</v>
      </c>
      <c r="J43" s="217">
        <f t="shared" si="5"/>
        <v>0</v>
      </c>
      <c r="K43" s="217">
        <f t="shared" si="6"/>
        <v>0</v>
      </c>
      <c r="L43" s="217">
        <f t="shared" si="7"/>
        <v>0</v>
      </c>
      <c r="M43" s="217">
        <f t="shared" si="8"/>
        <v>0</v>
      </c>
      <c r="N43" s="217">
        <f t="shared" ca="1" si="9"/>
        <v>14.38</v>
      </c>
    </row>
    <row r="44" spans="2:14" x14ac:dyDescent="0.25">
      <c r="B44" s="29">
        <f t="shared" si="10"/>
        <v>2035</v>
      </c>
      <c r="C44" s="217">
        <f t="shared" ref="C44:G44" si="18">C19*$G$5</f>
        <v>0</v>
      </c>
      <c r="D44" s="217">
        <f t="shared" si="18"/>
        <v>0</v>
      </c>
      <c r="E44" s="217">
        <f t="shared" si="18"/>
        <v>0</v>
      </c>
      <c r="F44" s="217">
        <f t="shared" si="18"/>
        <v>0</v>
      </c>
      <c r="G44" s="217">
        <f t="shared" si="18"/>
        <v>0</v>
      </c>
      <c r="I44" s="29">
        <f t="shared" si="12"/>
        <v>2035</v>
      </c>
      <c r="J44" s="217">
        <f t="shared" si="5"/>
        <v>0</v>
      </c>
      <c r="K44" s="217">
        <f t="shared" si="6"/>
        <v>0</v>
      </c>
      <c r="L44" s="217">
        <f t="shared" si="7"/>
        <v>0</v>
      </c>
      <c r="M44" s="217">
        <f t="shared" si="8"/>
        <v>0</v>
      </c>
      <c r="N44" s="217">
        <f t="shared" si="9"/>
        <v>0</v>
      </c>
    </row>
    <row r="45" spans="2:14" x14ac:dyDescent="0.25">
      <c r="B45" s="29">
        <f t="shared" si="10"/>
        <v>2036</v>
      </c>
      <c r="C45" s="217">
        <f t="shared" ref="C45:G45" si="19">C20*$G$5</f>
        <v>0</v>
      </c>
      <c r="D45" s="217">
        <f t="shared" si="19"/>
        <v>0</v>
      </c>
      <c r="E45" s="217">
        <f t="shared" si="19"/>
        <v>0</v>
      </c>
      <c r="F45" s="217">
        <f t="shared" si="19"/>
        <v>0</v>
      </c>
      <c r="G45" s="217">
        <f t="shared" si="19"/>
        <v>0</v>
      </c>
      <c r="I45" s="29">
        <f t="shared" si="12"/>
        <v>2036</v>
      </c>
      <c r="J45" s="217">
        <f t="shared" si="5"/>
        <v>0</v>
      </c>
      <c r="K45" s="217">
        <f t="shared" si="6"/>
        <v>0</v>
      </c>
      <c r="L45" s="217">
        <f t="shared" si="7"/>
        <v>0</v>
      </c>
      <c r="M45" s="217">
        <f t="shared" si="8"/>
        <v>0</v>
      </c>
      <c r="N45" s="217">
        <f t="shared" si="9"/>
        <v>0</v>
      </c>
    </row>
    <row r="46" spans="2:14" x14ac:dyDescent="0.25">
      <c r="B46" s="29">
        <f t="shared" si="10"/>
        <v>2037</v>
      </c>
      <c r="C46" s="218">
        <f t="shared" ref="C46:G46" si="20">C21*$G$5</f>
        <v>0</v>
      </c>
      <c r="D46" s="218">
        <f t="shared" si="20"/>
        <v>0</v>
      </c>
      <c r="E46" s="218">
        <f t="shared" si="20"/>
        <v>0</v>
      </c>
      <c r="F46" s="218">
        <f t="shared" si="20"/>
        <v>0</v>
      </c>
      <c r="G46" s="218">
        <f t="shared" si="20"/>
        <v>0</v>
      </c>
      <c r="I46" s="29">
        <f t="shared" si="12"/>
        <v>2037</v>
      </c>
      <c r="J46" s="218">
        <f t="shared" si="5"/>
        <v>0</v>
      </c>
      <c r="K46" s="218">
        <f t="shared" si="6"/>
        <v>0</v>
      </c>
      <c r="L46" s="218">
        <f t="shared" si="7"/>
        <v>0</v>
      </c>
      <c r="M46" s="218">
        <f t="shared" si="8"/>
        <v>0</v>
      </c>
      <c r="N46" s="218">
        <f t="shared" si="9"/>
        <v>0</v>
      </c>
    </row>
    <row r="47" spans="2:14" x14ac:dyDescent="0.25">
      <c r="B47" s="29">
        <f t="shared" si="10"/>
        <v>2038</v>
      </c>
      <c r="C47" s="218">
        <f t="shared" ref="C47:G47" si="21">C22*$G$5</f>
        <v>0</v>
      </c>
      <c r="D47" s="218">
        <f t="shared" si="21"/>
        <v>0</v>
      </c>
      <c r="E47" s="218">
        <f t="shared" si="21"/>
        <v>0</v>
      </c>
      <c r="F47" s="218">
        <f t="shared" si="21"/>
        <v>0</v>
      </c>
      <c r="G47" s="218">
        <f t="shared" si="21"/>
        <v>0</v>
      </c>
      <c r="I47" s="29">
        <f t="shared" si="12"/>
        <v>2038</v>
      </c>
      <c r="J47" s="218">
        <f t="shared" si="5"/>
        <v>0</v>
      </c>
      <c r="K47" s="218">
        <f t="shared" si="6"/>
        <v>0</v>
      </c>
      <c r="L47" s="218">
        <f t="shared" si="7"/>
        <v>0</v>
      </c>
      <c r="M47" s="218">
        <f t="shared" si="8"/>
        <v>0</v>
      </c>
      <c r="N47" s="218">
        <f t="shared" si="9"/>
        <v>0</v>
      </c>
    </row>
    <row r="48" spans="2:14" x14ac:dyDescent="0.25">
      <c r="B48" s="29">
        <f t="shared" si="10"/>
        <v>2039</v>
      </c>
      <c r="C48" s="218">
        <f t="shared" ref="C48:G48" si="22">C23*$G$5</f>
        <v>0</v>
      </c>
      <c r="D48" s="218">
        <f t="shared" si="22"/>
        <v>0</v>
      </c>
      <c r="E48" s="218">
        <f t="shared" si="22"/>
        <v>0</v>
      </c>
      <c r="F48" s="218">
        <f t="shared" si="22"/>
        <v>0</v>
      </c>
      <c r="G48" s="218">
        <f t="shared" si="22"/>
        <v>0</v>
      </c>
      <c r="I48" s="29">
        <f t="shared" si="12"/>
        <v>2039</v>
      </c>
      <c r="J48" s="218">
        <f t="shared" si="5"/>
        <v>0</v>
      </c>
      <c r="K48" s="218">
        <f t="shared" si="6"/>
        <v>0</v>
      </c>
      <c r="L48" s="218">
        <f t="shared" si="7"/>
        <v>0</v>
      </c>
      <c r="M48" s="218">
        <f t="shared" si="8"/>
        <v>0</v>
      </c>
      <c r="N48" s="218">
        <f t="shared" si="9"/>
        <v>0</v>
      </c>
    </row>
    <row r="49" spans="2:14" x14ac:dyDescent="0.25">
      <c r="B49" s="29">
        <f t="shared" si="10"/>
        <v>2040</v>
      </c>
      <c r="C49" s="218">
        <f t="shared" ref="C49:G49" si="23">C24*$G$5</f>
        <v>0</v>
      </c>
      <c r="D49" s="218">
        <f t="shared" si="23"/>
        <v>0</v>
      </c>
      <c r="E49" s="218">
        <f t="shared" si="23"/>
        <v>0</v>
      </c>
      <c r="F49" s="218">
        <f t="shared" si="23"/>
        <v>0</v>
      </c>
      <c r="G49" s="218">
        <f t="shared" si="23"/>
        <v>0</v>
      </c>
      <c r="I49" s="29">
        <f t="shared" si="12"/>
        <v>2040</v>
      </c>
      <c r="J49" s="218">
        <f t="shared" si="5"/>
        <v>0</v>
      </c>
      <c r="K49" s="218">
        <f t="shared" si="6"/>
        <v>0</v>
      </c>
      <c r="L49" s="218">
        <f t="shared" si="7"/>
        <v>0</v>
      </c>
      <c r="M49" s="218">
        <f t="shared" si="8"/>
        <v>0</v>
      </c>
      <c r="N49" s="218">
        <f t="shared" si="9"/>
        <v>0</v>
      </c>
    </row>
    <row r="50" spans="2:14" x14ac:dyDescent="0.25">
      <c r="B50" s="29">
        <f t="shared" si="10"/>
        <v>2041</v>
      </c>
      <c r="C50" s="218">
        <f t="shared" ref="C50:G50" si="24">C25*$G$5</f>
        <v>0</v>
      </c>
      <c r="D50" s="218">
        <f t="shared" si="24"/>
        <v>0</v>
      </c>
      <c r="E50" s="218">
        <f t="shared" si="24"/>
        <v>0</v>
      </c>
      <c r="F50" s="218">
        <f t="shared" si="24"/>
        <v>0</v>
      </c>
      <c r="G50" s="218">
        <f t="shared" si="24"/>
        <v>0</v>
      </c>
      <c r="I50" s="29">
        <f t="shared" si="12"/>
        <v>2041</v>
      </c>
      <c r="J50" s="218">
        <f t="shared" si="5"/>
        <v>0</v>
      </c>
      <c r="K50" s="218">
        <f t="shared" si="6"/>
        <v>0</v>
      </c>
      <c r="L50" s="218">
        <f t="shared" si="7"/>
        <v>0</v>
      </c>
      <c r="M50" s="218">
        <f t="shared" si="8"/>
        <v>0</v>
      </c>
      <c r="N50" s="218">
        <f t="shared" si="9"/>
        <v>0</v>
      </c>
    </row>
    <row r="51" spans="2:14" x14ac:dyDescent="0.25">
      <c r="B51" s="29">
        <f t="shared" si="10"/>
        <v>2042</v>
      </c>
      <c r="C51" s="218">
        <f t="shared" ref="C51:G51" si="25">C26*$G$5</f>
        <v>0</v>
      </c>
      <c r="D51" s="218">
        <f t="shared" si="25"/>
        <v>0</v>
      </c>
      <c r="E51" s="218">
        <f t="shared" si="25"/>
        <v>0</v>
      </c>
      <c r="F51" s="218">
        <f t="shared" si="25"/>
        <v>0</v>
      </c>
      <c r="G51" s="218">
        <f t="shared" si="25"/>
        <v>0</v>
      </c>
      <c r="I51" s="29">
        <f t="shared" si="12"/>
        <v>2042</v>
      </c>
      <c r="J51" s="218">
        <f t="shared" si="5"/>
        <v>0</v>
      </c>
      <c r="K51" s="218">
        <f t="shared" si="6"/>
        <v>0</v>
      </c>
      <c r="L51" s="218">
        <f t="shared" si="7"/>
        <v>0</v>
      </c>
      <c r="M51" s="218">
        <f t="shared" si="8"/>
        <v>0</v>
      </c>
      <c r="N51" s="218">
        <f t="shared" si="9"/>
        <v>0</v>
      </c>
    </row>
    <row r="52" spans="2:14" x14ac:dyDescent="0.25">
      <c r="B52" s="29">
        <f t="shared" si="10"/>
        <v>2043</v>
      </c>
      <c r="C52" s="218">
        <f t="shared" ref="C52:G52" si="26">C27*$G$5</f>
        <v>0</v>
      </c>
      <c r="D52" s="218">
        <f t="shared" si="26"/>
        <v>0</v>
      </c>
      <c r="E52" s="218">
        <f t="shared" si="26"/>
        <v>0</v>
      </c>
      <c r="F52" s="218">
        <f t="shared" si="26"/>
        <v>0</v>
      </c>
      <c r="G52" s="218">
        <f t="shared" si="26"/>
        <v>0</v>
      </c>
      <c r="I52" s="29">
        <f t="shared" si="12"/>
        <v>2043</v>
      </c>
      <c r="J52" s="218">
        <f t="shared" si="5"/>
        <v>0</v>
      </c>
      <c r="K52" s="218">
        <f t="shared" si="6"/>
        <v>0</v>
      </c>
      <c r="L52" s="218">
        <f t="shared" si="7"/>
        <v>0</v>
      </c>
      <c r="M52" s="218">
        <f t="shared" si="8"/>
        <v>0</v>
      </c>
      <c r="N52" s="218">
        <f t="shared" si="9"/>
        <v>0</v>
      </c>
    </row>
    <row r="53" spans="2:14" x14ac:dyDescent="0.25">
      <c r="B53" s="29">
        <f t="shared" si="10"/>
        <v>2044</v>
      </c>
      <c r="C53" s="218">
        <f t="shared" ref="C53:G53" si="27">C28*$G$5</f>
        <v>0</v>
      </c>
      <c r="D53" s="218">
        <f t="shared" si="27"/>
        <v>0</v>
      </c>
      <c r="E53" s="218">
        <f t="shared" si="27"/>
        <v>0</v>
      </c>
      <c r="F53" s="218">
        <f t="shared" si="27"/>
        <v>0</v>
      </c>
      <c r="G53" s="218">
        <f t="shared" si="27"/>
        <v>0</v>
      </c>
      <c r="I53" s="29">
        <f t="shared" si="12"/>
        <v>2044</v>
      </c>
      <c r="J53" s="218">
        <f t="shared" si="5"/>
        <v>0</v>
      </c>
      <c r="K53" s="218">
        <f t="shared" si="6"/>
        <v>0</v>
      </c>
      <c r="L53" s="218">
        <f t="shared" si="7"/>
        <v>0</v>
      </c>
      <c r="M53" s="218">
        <f t="shared" si="8"/>
        <v>0</v>
      </c>
      <c r="N53" s="218">
        <f t="shared" si="9"/>
        <v>0</v>
      </c>
    </row>
    <row r="54" spans="2:14" x14ac:dyDescent="0.25">
      <c r="B54" s="29">
        <f t="shared" si="10"/>
        <v>2045</v>
      </c>
      <c r="C54" s="218">
        <f t="shared" ref="C54:G54" si="28">C29*$G$5</f>
        <v>0</v>
      </c>
      <c r="D54" s="218">
        <f t="shared" si="28"/>
        <v>0</v>
      </c>
      <c r="E54" s="218">
        <f t="shared" si="28"/>
        <v>0</v>
      </c>
      <c r="F54" s="218">
        <f t="shared" si="28"/>
        <v>0</v>
      </c>
      <c r="G54" s="218">
        <f t="shared" si="28"/>
        <v>0</v>
      </c>
      <c r="I54" s="29">
        <f t="shared" si="12"/>
        <v>2045</v>
      </c>
      <c r="J54" s="218">
        <f t="shared" si="5"/>
        <v>0</v>
      </c>
      <c r="K54" s="218">
        <f t="shared" si="6"/>
        <v>0</v>
      </c>
      <c r="L54" s="218">
        <f t="shared" si="7"/>
        <v>0</v>
      </c>
      <c r="M54" s="218">
        <f t="shared" si="8"/>
        <v>0</v>
      </c>
      <c r="N54" s="218">
        <f t="shared" si="9"/>
        <v>0</v>
      </c>
    </row>
    <row r="55" spans="2:14" x14ac:dyDescent="0.25">
      <c r="B55" s="29">
        <f t="shared" si="10"/>
        <v>2046</v>
      </c>
      <c r="C55" s="218">
        <f t="shared" ref="C55:G55" si="29">C30*$G$5</f>
        <v>0</v>
      </c>
      <c r="D55" s="218">
        <f t="shared" si="29"/>
        <v>0</v>
      </c>
      <c r="E55" s="218">
        <f t="shared" si="29"/>
        <v>0</v>
      </c>
      <c r="F55" s="218">
        <f t="shared" si="29"/>
        <v>0</v>
      </c>
      <c r="G55" s="218">
        <f t="shared" si="29"/>
        <v>0</v>
      </c>
      <c r="I55" s="29">
        <f t="shared" si="12"/>
        <v>2046</v>
      </c>
      <c r="J55" s="218">
        <f t="shared" si="5"/>
        <v>0</v>
      </c>
      <c r="K55" s="218">
        <f t="shared" si="6"/>
        <v>0</v>
      </c>
      <c r="L55" s="218">
        <f t="shared" si="7"/>
        <v>0</v>
      </c>
      <c r="M55" s="218">
        <f t="shared" si="8"/>
        <v>0</v>
      </c>
      <c r="N55" s="218">
        <f t="shared" si="9"/>
        <v>0</v>
      </c>
    </row>
  </sheetData>
  <mergeCells count="23">
    <mergeCell ref="B34:B35"/>
    <mergeCell ref="I34:I35"/>
    <mergeCell ref="F4:G4"/>
    <mergeCell ref="B9:B10"/>
    <mergeCell ref="I9:I10"/>
    <mergeCell ref="AK19:AN19"/>
    <mergeCell ref="AO19:AR19"/>
    <mergeCell ref="P18:AR18"/>
    <mergeCell ref="P19:P20"/>
    <mergeCell ref="Q19:T19"/>
    <mergeCell ref="U19:X19"/>
    <mergeCell ref="Y19:AB19"/>
    <mergeCell ref="AC19:AF19"/>
    <mergeCell ref="AG19:AJ19"/>
    <mergeCell ref="AO9:AR9"/>
    <mergeCell ref="P8:AR8"/>
    <mergeCell ref="Q9:T9"/>
    <mergeCell ref="U9:X9"/>
    <mergeCell ref="Y9:AB9"/>
    <mergeCell ref="AC9:AF9"/>
    <mergeCell ref="AG9:AJ9"/>
    <mergeCell ref="AK9:AN9"/>
    <mergeCell ref="P9:P10"/>
  </mergeCells>
  <conditionalFormatting sqref="P4">
    <cfRule type="expression" dxfId="0" priority="1">
      <formula>$P$4="Complete"</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C9DE-CB73-4E65-A232-227CEFC8A1A0}">
  <sheetPr codeName="Sheet15">
    <tabColor rgb="FFFFC000"/>
  </sheetPr>
  <dimension ref="A3:BJ24"/>
  <sheetViews>
    <sheetView zoomScale="80" zoomScaleNormal="80" workbookViewId="0">
      <selection activeCell="M5" sqref="M5"/>
    </sheetView>
  </sheetViews>
  <sheetFormatPr defaultColWidth="8.85546875" defaultRowHeight="15" x14ac:dyDescent="0.25"/>
  <cols>
    <col min="1" max="1" width="8.85546875" style="107"/>
    <col min="2" max="2" width="14.140625" style="107" customWidth="1"/>
    <col min="3" max="8" width="8.85546875" style="107"/>
    <col min="9" max="9" width="11.85546875" style="107" customWidth="1"/>
    <col min="10" max="10" width="10.42578125" style="107" customWidth="1"/>
    <col min="11" max="11" width="8.85546875" style="107"/>
    <col min="12" max="12" width="12.42578125" style="107" bestFit="1" customWidth="1"/>
    <col min="13" max="13" width="23.85546875" style="107" customWidth="1"/>
    <col min="14" max="14" width="20" style="107" customWidth="1"/>
    <col min="15" max="15" width="30.140625" style="107" bestFit="1" customWidth="1"/>
    <col min="16" max="30" width="8.85546875" style="107"/>
    <col min="31" max="62" width="8.85546875" style="83"/>
    <col min="63" max="16384" width="8.85546875" style="107"/>
  </cols>
  <sheetData>
    <row r="3" spans="1:62" ht="15.75" x14ac:dyDescent="0.25">
      <c r="B3" s="108" t="s">
        <v>278</v>
      </c>
      <c r="C3" s="109"/>
      <c r="E3" s="110"/>
      <c r="F3" s="110"/>
      <c r="L3" s="108" t="s">
        <v>279</v>
      </c>
    </row>
    <row r="4" spans="1:62" customFormat="1" ht="26.25" x14ac:dyDescent="0.25">
      <c r="A4" s="107"/>
      <c r="B4" s="32" t="s">
        <v>119</v>
      </c>
      <c r="C4" s="32" t="s">
        <v>217</v>
      </c>
      <c r="D4" s="222" t="s">
        <v>91</v>
      </c>
      <c r="E4" s="222" t="s">
        <v>97</v>
      </c>
      <c r="F4" s="222" t="s">
        <v>85</v>
      </c>
      <c r="G4" s="222" t="s">
        <v>88</v>
      </c>
      <c r="H4" s="222" t="s">
        <v>93</v>
      </c>
      <c r="I4" s="222" t="s">
        <v>95</v>
      </c>
      <c r="J4" s="222" t="s">
        <v>66</v>
      </c>
      <c r="K4" s="107"/>
      <c r="L4" s="32" t="s">
        <v>142</v>
      </c>
      <c r="M4" s="32" t="s">
        <v>280</v>
      </c>
      <c r="N4" s="32" t="s">
        <v>281</v>
      </c>
      <c r="O4" s="32" t="s">
        <v>282</v>
      </c>
      <c r="P4" s="107"/>
      <c r="Q4" s="107"/>
      <c r="R4" s="107"/>
      <c r="S4" s="107"/>
      <c r="T4" s="107"/>
      <c r="U4" s="107"/>
      <c r="V4" s="107"/>
      <c r="W4" s="107"/>
      <c r="X4" s="107"/>
      <c r="Y4" s="107"/>
      <c r="Z4" s="107"/>
      <c r="AA4" s="107"/>
      <c r="AB4" s="107"/>
      <c r="AC4" s="107"/>
      <c r="AD4" s="107"/>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row>
    <row r="5" spans="1:62" customFormat="1" x14ac:dyDescent="0.25">
      <c r="A5" s="107"/>
      <c r="B5" s="35">
        <f>Start_Year_PY</f>
        <v>18</v>
      </c>
      <c r="C5" s="35">
        <f>Start_Year</f>
        <v>2027</v>
      </c>
      <c r="D5" s="223">
        <f t="array" ref="D5:J5">TRANSPOSE(N5:N11)</f>
        <v>58.14</v>
      </c>
      <c r="E5" s="223">
        <v>44.87</v>
      </c>
      <c r="F5" s="223">
        <v>18.670000000000002</v>
      </c>
      <c r="G5" s="223">
        <v>18.100000000000001</v>
      </c>
      <c r="H5" s="223">
        <v>18.100000000000001</v>
      </c>
      <c r="I5" s="223">
        <v>18.100000000000001</v>
      </c>
      <c r="J5" s="223">
        <v>18.100000000000001</v>
      </c>
      <c r="K5" s="107"/>
      <c r="L5" s="35" t="s">
        <v>91</v>
      </c>
      <c r="M5" s="37">
        <v>288</v>
      </c>
      <c r="N5" s="231">
        <v>58.14</v>
      </c>
      <c r="O5" s="35" t="s">
        <v>283</v>
      </c>
      <c r="P5" s="107"/>
      <c r="Q5" s="107"/>
      <c r="R5" s="107"/>
      <c r="S5" s="107"/>
      <c r="T5" s="107"/>
      <c r="U5" s="107"/>
      <c r="V5" s="107"/>
      <c r="W5" s="107"/>
      <c r="X5" s="107"/>
      <c r="Y5" s="107"/>
      <c r="Z5" s="107"/>
      <c r="AA5" s="107"/>
      <c r="AB5" s="107"/>
      <c r="AC5" s="107"/>
      <c r="AD5" s="107"/>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row>
    <row r="6" spans="1:62" customFormat="1" x14ac:dyDescent="0.25">
      <c r="A6" s="107"/>
      <c r="B6" s="35">
        <f>B5+1</f>
        <v>19</v>
      </c>
      <c r="C6" s="35">
        <f>C5+1</f>
        <v>2028</v>
      </c>
      <c r="D6" s="224">
        <f t="shared" ref="D6:D24" si="0">D5*(1+Inflation_Rate)</f>
        <v>59.302800000000005</v>
      </c>
      <c r="E6" s="224">
        <f t="shared" ref="E6:E24" si="1">E5*(1+Inflation_Rate)</f>
        <v>45.767399999999995</v>
      </c>
      <c r="F6" s="224">
        <f t="shared" ref="F6:F24" si="2">F5*(1+Inflation_Rate)</f>
        <v>19.043400000000002</v>
      </c>
      <c r="G6" s="224">
        <f t="shared" ref="G6:G24" si="3">G5*(1+Inflation_Rate)</f>
        <v>18.462000000000003</v>
      </c>
      <c r="H6" s="224">
        <f t="shared" ref="H6:H24" si="4">H5*(1+Inflation_Rate)</f>
        <v>18.462000000000003</v>
      </c>
      <c r="I6" s="224">
        <f t="shared" ref="I6:I24" si="5">I5*(1+Inflation_Rate)</f>
        <v>18.462000000000003</v>
      </c>
      <c r="J6" s="224">
        <f t="shared" ref="J6:J24" si="6">J5*(1+Inflation_Rate)</f>
        <v>18.462000000000003</v>
      </c>
      <c r="K6" s="107"/>
      <c r="L6" s="35" t="s">
        <v>97</v>
      </c>
      <c r="M6" s="37">
        <v>382</v>
      </c>
      <c r="N6" s="231">
        <v>44.87</v>
      </c>
      <c r="O6" s="35" t="s">
        <v>283</v>
      </c>
      <c r="P6" s="107"/>
      <c r="Q6" s="107"/>
      <c r="R6" s="107"/>
      <c r="S6" s="107"/>
      <c r="T6" s="107"/>
      <c r="U6" s="107"/>
      <c r="V6" s="107"/>
      <c r="W6" s="107"/>
      <c r="X6" s="107"/>
      <c r="Y6" s="107"/>
      <c r="Z6" s="107"/>
      <c r="AA6" s="107"/>
      <c r="AB6" s="107"/>
      <c r="AC6" s="107"/>
      <c r="AD6" s="107"/>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row>
    <row r="7" spans="1:62" customFormat="1" x14ac:dyDescent="0.25">
      <c r="A7" s="107"/>
      <c r="B7" s="35">
        <f t="shared" ref="B7:B24" si="7">B6+1</f>
        <v>20</v>
      </c>
      <c r="C7" s="35">
        <f t="shared" ref="C7:C24" si="8">C6+1</f>
        <v>2029</v>
      </c>
      <c r="D7" s="224">
        <f t="shared" si="0"/>
        <v>60.488856000000006</v>
      </c>
      <c r="E7" s="224">
        <f t="shared" si="1"/>
        <v>46.682747999999997</v>
      </c>
      <c r="F7" s="224">
        <f t="shared" si="2"/>
        <v>19.424268000000001</v>
      </c>
      <c r="G7" s="224">
        <f t="shared" si="3"/>
        <v>18.831240000000005</v>
      </c>
      <c r="H7" s="224">
        <f t="shared" si="4"/>
        <v>18.831240000000005</v>
      </c>
      <c r="I7" s="224">
        <f t="shared" si="5"/>
        <v>18.831240000000005</v>
      </c>
      <c r="J7" s="224">
        <f t="shared" si="6"/>
        <v>18.831240000000005</v>
      </c>
      <c r="K7" s="107"/>
      <c r="L7" s="35" t="s">
        <v>85</v>
      </c>
      <c r="M7" s="37">
        <v>556</v>
      </c>
      <c r="N7" s="231">
        <v>18.670000000000002</v>
      </c>
      <c r="O7" s="35" t="s">
        <v>283</v>
      </c>
      <c r="P7" s="107"/>
      <c r="Q7" s="107"/>
      <c r="R7" s="107"/>
      <c r="S7" s="107"/>
      <c r="T7" s="107"/>
      <c r="U7" s="107"/>
      <c r="V7" s="107"/>
      <c r="W7" s="107"/>
      <c r="X7" s="107"/>
      <c r="Y7" s="107"/>
      <c r="Z7" s="107"/>
      <c r="AA7" s="107"/>
      <c r="AB7" s="107"/>
      <c r="AC7" s="107"/>
      <c r="AD7" s="107"/>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row>
    <row r="8" spans="1:62" customFormat="1" x14ac:dyDescent="0.25">
      <c r="A8" s="107"/>
      <c r="B8" s="35">
        <f t="shared" si="7"/>
        <v>21</v>
      </c>
      <c r="C8" s="35">
        <f t="shared" si="8"/>
        <v>2030</v>
      </c>
      <c r="D8" s="224">
        <f t="shared" si="0"/>
        <v>61.698633120000004</v>
      </c>
      <c r="E8" s="224">
        <f t="shared" si="1"/>
        <v>47.616402959999995</v>
      </c>
      <c r="F8" s="224">
        <f t="shared" si="2"/>
        <v>19.812753360000002</v>
      </c>
      <c r="G8" s="224">
        <f t="shared" si="3"/>
        <v>19.207864800000007</v>
      </c>
      <c r="H8" s="224">
        <f t="shared" si="4"/>
        <v>19.207864800000007</v>
      </c>
      <c r="I8" s="224">
        <f t="shared" si="5"/>
        <v>19.207864800000007</v>
      </c>
      <c r="J8" s="224">
        <f t="shared" si="6"/>
        <v>19.207864800000007</v>
      </c>
      <c r="K8" s="107"/>
      <c r="L8" s="35" t="s">
        <v>88</v>
      </c>
      <c r="M8" s="37">
        <v>350</v>
      </c>
      <c r="N8" s="231">
        <v>18.100000000000001</v>
      </c>
      <c r="O8" s="35" t="s">
        <v>284</v>
      </c>
      <c r="P8" s="107"/>
      <c r="Q8" s="107"/>
      <c r="R8" s="107"/>
      <c r="S8" s="107"/>
      <c r="T8" s="107"/>
      <c r="U8" s="107"/>
      <c r="V8" s="107"/>
      <c r="W8" s="107"/>
      <c r="X8" s="107"/>
      <c r="Y8" s="107"/>
      <c r="Z8" s="107"/>
      <c r="AA8" s="107"/>
      <c r="AB8" s="107"/>
      <c r="AC8" s="107"/>
      <c r="AD8" s="107"/>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row>
    <row r="9" spans="1:62" customFormat="1" x14ac:dyDescent="0.25">
      <c r="A9" s="107"/>
      <c r="B9" s="35">
        <f t="shared" si="7"/>
        <v>22</v>
      </c>
      <c r="C9" s="35">
        <f t="shared" si="8"/>
        <v>2031</v>
      </c>
      <c r="D9" s="225">
        <f t="shared" si="0"/>
        <v>62.932605782400003</v>
      </c>
      <c r="E9" s="225">
        <f t="shared" si="1"/>
        <v>48.568731019199994</v>
      </c>
      <c r="F9" s="225">
        <f t="shared" si="2"/>
        <v>20.209008427200004</v>
      </c>
      <c r="G9" s="225">
        <f t="shared" si="3"/>
        <v>19.592022096000008</v>
      </c>
      <c r="H9" s="225">
        <f t="shared" si="4"/>
        <v>19.592022096000008</v>
      </c>
      <c r="I9" s="225">
        <f t="shared" si="5"/>
        <v>19.592022096000008</v>
      </c>
      <c r="J9" s="225">
        <f t="shared" si="6"/>
        <v>19.592022096000008</v>
      </c>
      <c r="K9" s="107"/>
      <c r="L9" s="35" t="s">
        <v>93</v>
      </c>
      <c r="M9" s="37">
        <v>325</v>
      </c>
      <c r="N9" s="231">
        <v>18.100000000000001</v>
      </c>
      <c r="O9" s="35" t="s">
        <v>284</v>
      </c>
      <c r="P9" s="107"/>
      <c r="Q9" s="107"/>
      <c r="R9" s="107"/>
      <c r="S9" s="107"/>
      <c r="T9" s="107"/>
      <c r="U9" s="107"/>
      <c r="V9" s="107"/>
      <c r="W9" s="107"/>
      <c r="X9" s="107"/>
      <c r="Y9" s="107"/>
      <c r="Z9" s="107"/>
      <c r="AA9" s="107"/>
      <c r="AB9" s="107"/>
      <c r="AC9" s="107"/>
      <c r="AD9" s="107"/>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row>
    <row r="10" spans="1:62" customFormat="1" x14ac:dyDescent="0.25">
      <c r="A10" s="107"/>
      <c r="B10" s="35">
        <f t="shared" si="7"/>
        <v>23</v>
      </c>
      <c r="C10" s="35">
        <f t="shared" si="8"/>
        <v>2032</v>
      </c>
      <c r="D10" s="225">
        <f t="shared" si="0"/>
        <v>64.191257898048008</v>
      </c>
      <c r="E10" s="225">
        <f t="shared" si="1"/>
        <v>49.540105639583992</v>
      </c>
      <c r="F10" s="225">
        <f t="shared" si="2"/>
        <v>20.613188595744006</v>
      </c>
      <c r="G10" s="225">
        <f t="shared" si="3"/>
        <v>19.983862537920007</v>
      </c>
      <c r="H10" s="225">
        <f t="shared" si="4"/>
        <v>19.983862537920007</v>
      </c>
      <c r="I10" s="225">
        <f t="shared" si="5"/>
        <v>19.983862537920007</v>
      </c>
      <c r="J10" s="225">
        <f t="shared" si="6"/>
        <v>19.983862537920007</v>
      </c>
      <c r="K10" s="107"/>
      <c r="L10" s="35" t="s">
        <v>95</v>
      </c>
      <c r="M10" s="37">
        <v>358</v>
      </c>
      <c r="N10" s="231">
        <v>18.100000000000001</v>
      </c>
      <c r="O10" s="35" t="s">
        <v>284</v>
      </c>
      <c r="P10" s="107"/>
      <c r="Q10" s="107"/>
      <c r="R10" s="107"/>
      <c r="S10" s="107"/>
      <c r="T10" s="107"/>
      <c r="U10" s="107"/>
      <c r="V10" s="107"/>
      <c r="W10" s="107"/>
      <c r="X10" s="107"/>
      <c r="Y10" s="107"/>
      <c r="Z10" s="107"/>
      <c r="AA10" s="107"/>
      <c r="AB10" s="107"/>
      <c r="AC10" s="107"/>
      <c r="AD10" s="107"/>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row>
    <row r="11" spans="1:62" customFormat="1" x14ac:dyDescent="0.25">
      <c r="A11" s="107"/>
      <c r="B11" s="35">
        <f t="shared" si="7"/>
        <v>24</v>
      </c>
      <c r="C11" s="35">
        <f t="shared" si="8"/>
        <v>2033</v>
      </c>
      <c r="D11" s="225">
        <f t="shared" si="0"/>
        <v>65.47508305600897</v>
      </c>
      <c r="E11" s="225">
        <f t="shared" si="1"/>
        <v>50.530907752375676</v>
      </c>
      <c r="F11" s="225">
        <f t="shared" si="2"/>
        <v>21.025452367658886</v>
      </c>
      <c r="G11" s="225">
        <f t="shared" si="3"/>
        <v>20.383539788678409</v>
      </c>
      <c r="H11" s="225">
        <f t="shared" si="4"/>
        <v>20.383539788678409</v>
      </c>
      <c r="I11" s="225">
        <f t="shared" si="5"/>
        <v>20.383539788678409</v>
      </c>
      <c r="J11" s="225">
        <f t="shared" si="6"/>
        <v>20.383539788678409</v>
      </c>
      <c r="K11" s="107"/>
      <c r="L11" s="35" t="s">
        <v>66</v>
      </c>
      <c r="M11" s="37">
        <v>372</v>
      </c>
      <c r="N11" s="231">
        <v>18.100000000000001</v>
      </c>
      <c r="O11" s="35" t="s">
        <v>284</v>
      </c>
      <c r="P11" s="107"/>
      <c r="Q11" s="107"/>
      <c r="R11" s="107"/>
      <c r="S11" s="107"/>
      <c r="T11" s="107"/>
      <c r="U11" s="107"/>
      <c r="V11" s="107"/>
      <c r="W11" s="107"/>
      <c r="X11" s="107"/>
      <c r="Y11" s="107"/>
      <c r="Z11" s="107"/>
      <c r="AA11" s="107"/>
      <c r="AB11" s="107"/>
      <c r="AC11" s="107"/>
      <c r="AD11" s="107"/>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row>
    <row r="12" spans="1:62" customFormat="1" x14ac:dyDescent="0.25">
      <c r="A12" s="107"/>
      <c r="B12" s="35">
        <f t="shared" si="7"/>
        <v>25</v>
      </c>
      <c r="C12" s="35">
        <f t="shared" si="8"/>
        <v>2034</v>
      </c>
      <c r="D12" s="225">
        <f t="shared" si="0"/>
        <v>66.78458471712915</v>
      </c>
      <c r="E12" s="225">
        <f t="shared" si="1"/>
        <v>51.541525907423193</v>
      </c>
      <c r="F12" s="225">
        <f t="shared" si="2"/>
        <v>21.445961415012064</v>
      </c>
      <c r="G12" s="225">
        <f t="shared" si="3"/>
        <v>20.791210584451978</v>
      </c>
      <c r="H12" s="225">
        <f t="shared" si="4"/>
        <v>20.791210584451978</v>
      </c>
      <c r="I12" s="225">
        <f t="shared" si="5"/>
        <v>20.791210584451978</v>
      </c>
      <c r="J12" s="225">
        <f t="shared" si="6"/>
        <v>20.791210584451978</v>
      </c>
      <c r="K12" s="107"/>
      <c r="L12" s="107"/>
      <c r="M12" s="107"/>
      <c r="N12" s="107"/>
      <c r="O12" s="107"/>
      <c r="P12" s="107"/>
      <c r="Q12" s="107"/>
      <c r="R12" s="107"/>
      <c r="S12" s="107"/>
      <c r="T12" s="107"/>
      <c r="U12" s="107"/>
      <c r="V12" s="107"/>
      <c r="W12" s="107"/>
      <c r="X12" s="107"/>
      <c r="Y12" s="107"/>
      <c r="Z12" s="107"/>
      <c r="AA12" s="107"/>
      <c r="AB12" s="107"/>
      <c r="AC12" s="107"/>
      <c r="AD12" s="107"/>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row>
    <row r="13" spans="1:62" customFormat="1" x14ac:dyDescent="0.25">
      <c r="A13" s="107"/>
      <c r="B13" s="35">
        <f t="shared" si="7"/>
        <v>26</v>
      </c>
      <c r="C13" s="35">
        <f t="shared" si="8"/>
        <v>2035</v>
      </c>
      <c r="D13" s="225">
        <f t="shared" si="0"/>
        <v>68.120276411471735</v>
      </c>
      <c r="E13" s="225">
        <f t="shared" si="1"/>
        <v>52.572356425571655</v>
      </c>
      <c r="F13" s="225">
        <f t="shared" si="2"/>
        <v>21.874880643312306</v>
      </c>
      <c r="G13" s="225">
        <f t="shared" si="3"/>
        <v>21.207034796141016</v>
      </c>
      <c r="H13" s="225">
        <f t="shared" si="4"/>
        <v>21.207034796141016</v>
      </c>
      <c r="I13" s="225">
        <f t="shared" si="5"/>
        <v>21.207034796141016</v>
      </c>
      <c r="J13" s="225">
        <f t="shared" si="6"/>
        <v>21.207034796141016</v>
      </c>
      <c r="K13" s="107"/>
      <c r="L13" s="107"/>
      <c r="M13" s="107"/>
      <c r="N13" s="107"/>
      <c r="O13" s="107"/>
      <c r="P13" s="107"/>
      <c r="Q13" s="107"/>
      <c r="R13" s="107"/>
      <c r="S13" s="107"/>
      <c r="T13" s="107"/>
      <c r="U13" s="107"/>
      <c r="V13" s="107"/>
      <c r="W13" s="107"/>
      <c r="X13" s="107"/>
      <c r="Y13" s="107"/>
      <c r="Z13" s="107"/>
      <c r="AA13" s="107"/>
      <c r="AB13" s="107"/>
      <c r="AC13" s="107"/>
      <c r="AD13" s="107"/>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row>
    <row r="14" spans="1:62" customFormat="1" x14ac:dyDescent="0.25">
      <c r="A14" s="107"/>
      <c r="B14" s="35">
        <f t="shared" si="7"/>
        <v>27</v>
      </c>
      <c r="C14" s="35">
        <f t="shared" si="8"/>
        <v>2036</v>
      </c>
      <c r="D14" s="225">
        <f t="shared" si="0"/>
        <v>69.482681939701166</v>
      </c>
      <c r="E14" s="225">
        <f t="shared" si="1"/>
        <v>53.623803554083089</v>
      </c>
      <c r="F14" s="225">
        <f t="shared" si="2"/>
        <v>22.312378256178551</v>
      </c>
      <c r="G14" s="225">
        <f t="shared" si="3"/>
        <v>21.631175492063836</v>
      </c>
      <c r="H14" s="225">
        <f t="shared" si="4"/>
        <v>21.631175492063836</v>
      </c>
      <c r="I14" s="225">
        <f t="shared" si="5"/>
        <v>21.631175492063836</v>
      </c>
      <c r="J14" s="225">
        <f t="shared" si="6"/>
        <v>21.631175492063836</v>
      </c>
      <c r="K14" s="107"/>
      <c r="L14" s="107"/>
      <c r="M14" s="107"/>
      <c r="N14" s="107"/>
      <c r="O14" s="107"/>
      <c r="P14" s="107"/>
      <c r="Q14" s="107"/>
      <c r="R14" s="107"/>
      <c r="S14" s="107"/>
      <c r="T14" s="107"/>
      <c r="U14" s="107"/>
      <c r="V14" s="107"/>
      <c r="W14" s="107"/>
      <c r="X14" s="107"/>
      <c r="Y14" s="107"/>
      <c r="Z14" s="107"/>
      <c r="AA14" s="107"/>
      <c r="AB14" s="107"/>
      <c r="AC14" s="107"/>
      <c r="AD14" s="107"/>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row>
    <row r="15" spans="1:62" customFormat="1" x14ac:dyDescent="0.25">
      <c r="A15" s="107"/>
      <c r="B15" s="35">
        <f t="shared" si="7"/>
        <v>28</v>
      </c>
      <c r="C15" s="35">
        <f t="shared" si="8"/>
        <v>2037</v>
      </c>
      <c r="D15" s="226">
        <f t="shared" si="0"/>
        <v>70.872335578495196</v>
      </c>
      <c r="E15" s="226">
        <f t="shared" si="1"/>
        <v>54.696279625164749</v>
      </c>
      <c r="F15" s="226">
        <f t="shared" si="2"/>
        <v>22.758625821302122</v>
      </c>
      <c r="G15" s="226">
        <f t="shared" si="3"/>
        <v>22.063799001905114</v>
      </c>
      <c r="H15" s="226">
        <f t="shared" si="4"/>
        <v>22.063799001905114</v>
      </c>
      <c r="I15" s="226">
        <f t="shared" si="5"/>
        <v>22.063799001905114</v>
      </c>
      <c r="J15" s="226">
        <f t="shared" si="6"/>
        <v>22.063799001905114</v>
      </c>
      <c r="K15" s="107"/>
      <c r="L15" s="107"/>
      <c r="M15" s="107"/>
      <c r="N15" s="107"/>
      <c r="O15" s="107"/>
      <c r="P15" s="107"/>
      <c r="Q15" s="107"/>
      <c r="R15" s="107"/>
      <c r="S15" s="107"/>
      <c r="T15" s="107"/>
      <c r="U15" s="107"/>
      <c r="V15" s="107"/>
      <c r="W15" s="107"/>
      <c r="X15" s="107"/>
      <c r="Y15" s="107"/>
      <c r="Z15" s="107"/>
      <c r="AA15" s="107"/>
      <c r="AB15" s="107"/>
      <c r="AC15" s="107"/>
      <c r="AD15" s="107"/>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row>
    <row r="16" spans="1:62" customFormat="1" x14ac:dyDescent="0.25">
      <c r="A16" s="107"/>
      <c r="B16" s="35">
        <f t="shared" si="7"/>
        <v>29</v>
      </c>
      <c r="C16" s="35">
        <f t="shared" si="8"/>
        <v>2038</v>
      </c>
      <c r="D16" s="226">
        <f t="shared" si="0"/>
        <v>72.289782290065105</v>
      </c>
      <c r="E16" s="226">
        <f t="shared" si="1"/>
        <v>55.790205217668046</v>
      </c>
      <c r="F16" s="226">
        <f t="shared" si="2"/>
        <v>23.213798337728164</v>
      </c>
      <c r="G16" s="226">
        <f t="shared" si="3"/>
        <v>22.505074981943217</v>
      </c>
      <c r="H16" s="226">
        <f t="shared" si="4"/>
        <v>22.505074981943217</v>
      </c>
      <c r="I16" s="226">
        <f t="shared" si="5"/>
        <v>22.505074981943217</v>
      </c>
      <c r="J16" s="226">
        <f t="shared" si="6"/>
        <v>22.505074981943217</v>
      </c>
      <c r="K16" s="107"/>
      <c r="L16" s="107"/>
      <c r="M16" s="107"/>
      <c r="N16" s="107"/>
      <c r="O16" s="107"/>
      <c r="P16" s="107"/>
      <c r="Q16" s="107"/>
      <c r="R16" s="107"/>
      <c r="S16" s="107"/>
      <c r="T16" s="107"/>
      <c r="U16" s="107"/>
      <c r="V16" s="107"/>
      <c r="W16" s="107"/>
      <c r="X16" s="107"/>
      <c r="Y16" s="107"/>
      <c r="Z16" s="107"/>
      <c r="AA16" s="107"/>
      <c r="AB16" s="107"/>
      <c r="AC16" s="107"/>
      <c r="AD16" s="107"/>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row>
    <row r="17" spans="1:62" customFormat="1" x14ac:dyDescent="0.25">
      <c r="A17" s="107"/>
      <c r="B17" s="35">
        <f t="shared" si="7"/>
        <v>30</v>
      </c>
      <c r="C17" s="35">
        <f t="shared" si="8"/>
        <v>2039</v>
      </c>
      <c r="D17" s="226">
        <f t="shared" si="0"/>
        <v>73.735577935866402</v>
      </c>
      <c r="E17" s="226">
        <f t="shared" si="1"/>
        <v>56.906009322021404</v>
      </c>
      <c r="F17" s="226">
        <f t="shared" si="2"/>
        <v>23.678074304482728</v>
      </c>
      <c r="G17" s="226">
        <f t="shared" si="3"/>
        <v>22.955176481582082</v>
      </c>
      <c r="H17" s="226">
        <f t="shared" si="4"/>
        <v>22.955176481582082</v>
      </c>
      <c r="I17" s="226">
        <f t="shared" si="5"/>
        <v>22.955176481582082</v>
      </c>
      <c r="J17" s="226">
        <f t="shared" si="6"/>
        <v>22.955176481582082</v>
      </c>
      <c r="K17" s="107"/>
      <c r="L17" s="107"/>
      <c r="M17" s="107"/>
      <c r="N17" s="107"/>
      <c r="O17" s="107"/>
      <c r="P17" s="107"/>
      <c r="Q17" s="107"/>
      <c r="R17" s="107"/>
      <c r="S17" s="107"/>
      <c r="T17" s="107"/>
      <c r="U17" s="107"/>
      <c r="V17" s="107"/>
      <c r="W17" s="107"/>
      <c r="X17" s="107"/>
      <c r="Y17" s="107"/>
      <c r="Z17" s="107"/>
      <c r="AA17" s="107"/>
      <c r="AB17" s="107"/>
      <c r="AC17" s="107"/>
      <c r="AD17" s="107"/>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row>
    <row r="18" spans="1:62" customFormat="1" x14ac:dyDescent="0.25">
      <c r="A18" s="107"/>
      <c r="B18" s="35">
        <f t="shared" si="7"/>
        <v>31</v>
      </c>
      <c r="C18" s="35">
        <f t="shared" si="8"/>
        <v>2040</v>
      </c>
      <c r="D18" s="226">
        <f t="shared" si="0"/>
        <v>75.210289494583733</v>
      </c>
      <c r="E18" s="226">
        <f t="shared" si="1"/>
        <v>58.044129508461836</v>
      </c>
      <c r="F18" s="226">
        <f t="shared" si="2"/>
        <v>24.151635790572382</v>
      </c>
      <c r="G18" s="226">
        <f t="shared" si="3"/>
        <v>23.414280011213723</v>
      </c>
      <c r="H18" s="226">
        <f t="shared" si="4"/>
        <v>23.414280011213723</v>
      </c>
      <c r="I18" s="226">
        <f t="shared" si="5"/>
        <v>23.414280011213723</v>
      </c>
      <c r="J18" s="226">
        <f t="shared" si="6"/>
        <v>23.414280011213723</v>
      </c>
      <c r="K18" s="107"/>
      <c r="L18" s="107"/>
      <c r="M18" s="107"/>
      <c r="N18" s="107"/>
      <c r="O18" s="107"/>
      <c r="P18" s="107"/>
      <c r="Q18" s="107"/>
      <c r="R18" s="107"/>
      <c r="S18" s="107"/>
      <c r="T18" s="107"/>
      <c r="U18" s="107"/>
      <c r="V18" s="107"/>
      <c r="W18" s="107"/>
      <c r="X18" s="107"/>
      <c r="Y18" s="107"/>
      <c r="Z18" s="107"/>
      <c r="AA18" s="107"/>
      <c r="AB18" s="107"/>
      <c r="AC18" s="107"/>
      <c r="AD18" s="107"/>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row>
    <row r="19" spans="1:62" customFormat="1" x14ac:dyDescent="0.25">
      <c r="A19" s="107"/>
      <c r="B19" s="35">
        <f t="shared" si="7"/>
        <v>32</v>
      </c>
      <c r="C19" s="35">
        <f t="shared" si="8"/>
        <v>2041</v>
      </c>
      <c r="D19" s="226">
        <f t="shared" si="0"/>
        <v>76.714495284475404</v>
      </c>
      <c r="E19" s="226">
        <f t="shared" si="1"/>
        <v>59.205012098631073</v>
      </c>
      <c r="F19" s="226">
        <f t="shared" si="2"/>
        <v>24.634668506383829</v>
      </c>
      <c r="G19" s="226">
        <f t="shared" si="3"/>
        <v>23.882565611437997</v>
      </c>
      <c r="H19" s="226">
        <f t="shared" si="4"/>
        <v>23.882565611437997</v>
      </c>
      <c r="I19" s="226">
        <f t="shared" si="5"/>
        <v>23.882565611437997</v>
      </c>
      <c r="J19" s="226">
        <f t="shared" si="6"/>
        <v>23.882565611437997</v>
      </c>
      <c r="K19" s="107"/>
      <c r="L19" s="107"/>
      <c r="M19" s="107"/>
      <c r="N19" s="107"/>
      <c r="O19" s="107"/>
      <c r="P19" s="107"/>
      <c r="Q19" s="107"/>
      <c r="R19" s="107"/>
      <c r="S19" s="107"/>
      <c r="T19" s="107"/>
      <c r="U19" s="107"/>
      <c r="V19" s="107"/>
      <c r="W19" s="107"/>
      <c r="X19" s="107"/>
      <c r="Y19" s="107"/>
      <c r="Z19" s="107"/>
      <c r="AA19" s="107"/>
      <c r="AB19" s="107"/>
      <c r="AC19" s="107"/>
      <c r="AD19" s="107"/>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row>
    <row r="20" spans="1:62" customFormat="1" x14ac:dyDescent="0.25">
      <c r="A20" s="107"/>
      <c r="B20" s="35">
        <f t="shared" si="7"/>
        <v>33</v>
      </c>
      <c r="C20" s="35">
        <f t="shared" si="8"/>
        <v>2042</v>
      </c>
      <c r="D20" s="226">
        <f t="shared" si="0"/>
        <v>78.248785190164909</v>
      </c>
      <c r="E20" s="226">
        <f t="shared" si="1"/>
        <v>60.389112340603695</v>
      </c>
      <c r="F20" s="226">
        <f t="shared" si="2"/>
        <v>25.127361876511507</v>
      </c>
      <c r="G20" s="226">
        <f t="shared" si="3"/>
        <v>24.360216923666759</v>
      </c>
      <c r="H20" s="226">
        <f t="shared" si="4"/>
        <v>24.360216923666759</v>
      </c>
      <c r="I20" s="226">
        <f t="shared" si="5"/>
        <v>24.360216923666759</v>
      </c>
      <c r="J20" s="226">
        <f t="shared" si="6"/>
        <v>24.360216923666759</v>
      </c>
      <c r="K20" s="107"/>
      <c r="L20" s="107"/>
      <c r="M20" s="107"/>
      <c r="N20" s="107"/>
      <c r="O20" s="107"/>
      <c r="P20" s="107"/>
      <c r="Q20" s="107"/>
      <c r="R20" s="107"/>
      <c r="S20" s="107"/>
      <c r="T20" s="107"/>
      <c r="U20" s="107"/>
      <c r="V20" s="107"/>
      <c r="W20" s="107"/>
      <c r="X20" s="107"/>
      <c r="Y20" s="107"/>
      <c r="Z20" s="107"/>
      <c r="AA20" s="107"/>
      <c r="AB20" s="107"/>
      <c r="AC20" s="107"/>
      <c r="AD20" s="107"/>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row>
    <row r="21" spans="1:62" customFormat="1" x14ac:dyDescent="0.25">
      <c r="A21" s="107"/>
      <c r="B21" s="35">
        <f t="shared" si="7"/>
        <v>34</v>
      </c>
      <c r="C21" s="35">
        <f t="shared" si="8"/>
        <v>2043</v>
      </c>
      <c r="D21" s="226">
        <f t="shared" si="0"/>
        <v>79.813760893968208</v>
      </c>
      <c r="E21" s="226">
        <f t="shared" si="1"/>
        <v>61.596894587415768</v>
      </c>
      <c r="F21" s="226">
        <f t="shared" si="2"/>
        <v>25.629909114041737</v>
      </c>
      <c r="G21" s="226">
        <f t="shared" si="3"/>
        <v>24.847421262140095</v>
      </c>
      <c r="H21" s="226">
        <f t="shared" si="4"/>
        <v>24.847421262140095</v>
      </c>
      <c r="I21" s="226">
        <f t="shared" si="5"/>
        <v>24.847421262140095</v>
      </c>
      <c r="J21" s="226">
        <f t="shared" si="6"/>
        <v>24.847421262140095</v>
      </c>
      <c r="K21" s="107"/>
      <c r="L21" s="107"/>
      <c r="M21" s="107"/>
      <c r="N21" s="107"/>
      <c r="O21" s="107"/>
      <c r="P21" s="107"/>
      <c r="Q21" s="107"/>
      <c r="R21" s="107"/>
      <c r="S21" s="107"/>
      <c r="T21" s="107"/>
      <c r="U21" s="107"/>
      <c r="V21" s="107"/>
      <c r="W21" s="107"/>
      <c r="X21" s="107"/>
      <c r="Y21" s="107"/>
      <c r="Z21" s="107"/>
      <c r="AA21" s="107"/>
      <c r="AB21" s="107"/>
      <c r="AC21" s="107"/>
      <c r="AD21" s="107"/>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row>
    <row r="22" spans="1:62" customFormat="1" x14ac:dyDescent="0.25">
      <c r="A22" s="107"/>
      <c r="B22" s="35">
        <f t="shared" si="7"/>
        <v>35</v>
      </c>
      <c r="C22" s="35">
        <f t="shared" si="8"/>
        <v>2044</v>
      </c>
      <c r="D22" s="226">
        <f t="shared" si="0"/>
        <v>81.410036111847575</v>
      </c>
      <c r="E22" s="226">
        <f t="shared" si="1"/>
        <v>62.828832479164085</v>
      </c>
      <c r="F22" s="226">
        <f t="shared" si="2"/>
        <v>26.142507296322574</v>
      </c>
      <c r="G22" s="226">
        <f t="shared" si="3"/>
        <v>25.344369687382898</v>
      </c>
      <c r="H22" s="226">
        <f t="shared" si="4"/>
        <v>25.344369687382898</v>
      </c>
      <c r="I22" s="226">
        <f t="shared" si="5"/>
        <v>25.344369687382898</v>
      </c>
      <c r="J22" s="226">
        <f t="shared" si="6"/>
        <v>25.344369687382898</v>
      </c>
      <c r="K22" s="107"/>
      <c r="L22" s="107"/>
      <c r="M22" s="107"/>
      <c r="N22" s="107"/>
      <c r="O22" s="107"/>
      <c r="P22" s="107"/>
      <c r="Q22" s="107"/>
      <c r="R22" s="107"/>
      <c r="S22" s="107"/>
      <c r="T22" s="107"/>
      <c r="U22" s="107"/>
      <c r="V22" s="107"/>
      <c r="W22" s="107"/>
      <c r="X22" s="107"/>
      <c r="Y22" s="107"/>
      <c r="Z22" s="107"/>
      <c r="AA22" s="107"/>
      <c r="AB22" s="107"/>
      <c r="AC22" s="107"/>
      <c r="AD22" s="107"/>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row>
    <row r="23" spans="1:62" customFormat="1" x14ac:dyDescent="0.25">
      <c r="A23" s="107"/>
      <c r="B23" s="35">
        <f t="shared" si="7"/>
        <v>36</v>
      </c>
      <c r="C23" s="35">
        <f t="shared" si="8"/>
        <v>2045</v>
      </c>
      <c r="D23" s="226">
        <f t="shared" si="0"/>
        <v>83.038236834084529</v>
      </c>
      <c r="E23" s="226">
        <f t="shared" si="1"/>
        <v>64.085409128747372</v>
      </c>
      <c r="F23" s="226">
        <f t="shared" si="2"/>
        <v>26.665357442249025</v>
      </c>
      <c r="G23" s="226">
        <f t="shared" si="3"/>
        <v>25.851257081130555</v>
      </c>
      <c r="H23" s="226">
        <f t="shared" si="4"/>
        <v>25.851257081130555</v>
      </c>
      <c r="I23" s="226">
        <f t="shared" si="5"/>
        <v>25.851257081130555</v>
      </c>
      <c r="J23" s="226">
        <f t="shared" si="6"/>
        <v>25.851257081130555</v>
      </c>
      <c r="K23" s="107"/>
      <c r="L23" s="107"/>
      <c r="M23" s="107"/>
      <c r="N23" s="107"/>
      <c r="O23" s="107"/>
      <c r="P23" s="107"/>
      <c r="Q23" s="107"/>
      <c r="R23" s="107"/>
      <c r="S23" s="107"/>
      <c r="T23" s="107"/>
      <c r="U23" s="107"/>
      <c r="V23" s="107"/>
      <c r="W23" s="107"/>
      <c r="X23" s="107"/>
      <c r="Y23" s="107"/>
      <c r="Z23" s="107"/>
      <c r="AA23" s="107"/>
      <c r="AB23" s="107"/>
      <c r="AC23" s="107"/>
      <c r="AD23" s="107"/>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row>
    <row r="24" spans="1:62" customFormat="1" x14ac:dyDescent="0.25">
      <c r="A24" s="107"/>
      <c r="B24" s="35">
        <f t="shared" si="7"/>
        <v>37</v>
      </c>
      <c r="C24" s="35">
        <f t="shared" si="8"/>
        <v>2046</v>
      </c>
      <c r="D24" s="226">
        <f t="shared" si="0"/>
        <v>84.699001570766228</v>
      </c>
      <c r="E24" s="226">
        <f t="shared" si="1"/>
        <v>65.367117311322318</v>
      </c>
      <c r="F24" s="226">
        <f t="shared" si="2"/>
        <v>27.198664591094005</v>
      </c>
      <c r="G24" s="226">
        <f t="shared" si="3"/>
        <v>26.368282222753166</v>
      </c>
      <c r="H24" s="226">
        <f t="shared" si="4"/>
        <v>26.368282222753166</v>
      </c>
      <c r="I24" s="226">
        <f t="shared" si="5"/>
        <v>26.368282222753166</v>
      </c>
      <c r="J24" s="226">
        <f t="shared" si="6"/>
        <v>26.368282222753166</v>
      </c>
      <c r="K24" s="107"/>
      <c r="L24" s="107"/>
      <c r="M24" s="107"/>
      <c r="N24" s="107"/>
      <c r="O24" s="107"/>
      <c r="P24" s="107"/>
      <c r="Q24" s="107"/>
      <c r="R24" s="107"/>
      <c r="S24" s="107"/>
      <c r="T24" s="107"/>
      <c r="U24" s="107"/>
      <c r="V24" s="107"/>
      <c r="W24" s="107"/>
      <c r="X24" s="107"/>
      <c r="Y24" s="107"/>
      <c r="Z24" s="107"/>
      <c r="AA24" s="107"/>
      <c r="AB24" s="107"/>
      <c r="AC24" s="107"/>
      <c r="AD24" s="107"/>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626B-09F2-4654-BE4F-174D2C8F58F9}">
  <sheetPr codeName="Sheet16">
    <tabColor rgb="FFFFC000"/>
  </sheetPr>
  <dimension ref="A1:GP175"/>
  <sheetViews>
    <sheetView workbookViewId="0">
      <selection activeCell="E33" sqref="E33"/>
    </sheetView>
  </sheetViews>
  <sheetFormatPr defaultColWidth="8.85546875" defaultRowHeight="12.75" x14ac:dyDescent="0.2"/>
  <cols>
    <col min="1" max="1" width="20.140625" style="230" customWidth="1"/>
    <col min="2" max="2" width="18.140625" style="230" customWidth="1"/>
    <col min="3" max="3" width="21.140625" style="230" customWidth="1"/>
    <col min="4" max="4" width="17.140625" style="230" customWidth="1"/>
    <col min="5" max="5" width="22.85546875" style="230" customWidth="1"/>
    <col min="6" max="6" width="18.85546875" style="230" customWidth="1"/>
    <col min="7" max="7" width="21.42578125" style="230" customWidth="1"/>
    <col min="8" max="8" width="19" style="230" customWidth="1"/>
    <col min="9" max="9" width="22" style="230" customWidth="1"/>
    <col min="10" max="10" width="73.85546875" style="230" customWidth="1"/>
    <col min="11" max="198" width="8.85546875" style="230"/>
    <col min="199" max="16384" width="8.85546875" style="2"/>
  </cols>
  <sheetData>
    <row r="1" spans="1:10" x14ac:dyDescent="0.2">
      <c r="A1" s="229" t="s">
        <v>285</v>
      </c>
      <c r="B1" s="229" t="s">
        <v>286</v>
      </c>
      <c r="C1" s="229" t="s">
        <v>287</v>
      </c>
      <c r="D1" s="229" t="s">
        <v>288</v>
      </c>
      <c r="E1" s="229" t="s">
        <v>289</v>
      </c>
      <c r="F1" s="229" t="s">
        <v>290</v>
      </c>
      <c r="G1" s="229" t="s">
        <v>291</v>
      </c>
      <c r="H1" s="229" t="s">
        <v>292</v>
      </c>
      <c r="I1" s="229" t="s">
        <v>293</v>
      </c>
      <c r="J1" s="229" t="s">
        <v>282</v>
      </c>
    </row>
    <row r="2" spans="1:10" x14ac:dyDescent="0.2">
      <c r="A2" s="227" t="s">
        <v>294</v>
      </c>
      <c r="B2" s="227" t="s">
        <v>295</v>
      </c>
      <c r="C2" s="227" t="s">
        <v>296</v>
      </c>
      <c r="D2" s="228">
        <v>0.57620364427566528</v>
      </c>
      <c r="E2" s="228">
        <v>0.29028832912445068</v>
      </c>
      <c r="F2" s="228">
        <v>1.7914032563567162E-2</v>
      </c>
      <c r="G2" s="228">
        <v>9.8685910925269127E-3</v>
      </c>
      <c r="H2" s="228">
        <v>7.0224657654762268E-2</v>
      </c>
      <c r="I2" s="228">
        <v>3.5500761121511459E-2</v>
      </c>
      <c r="J2" s="227" t="s">
        <v>297</v>
      </c>
    </row>
    <row r="3" spans="1:10" x14ac:dyDescent="0.2">
      <c r="A3" s="227" t="s">
        <v>294</v>
      </c>
      <c r="B3" s="227" t="s">
        <v>295</v>
      </c>
      <c r="C3" s="227" t="s">
        <v>298</v>
      </c>
      <c r="D3" s="228">
        <v>9.1888748109340668E-2</v>
      </c>
      <c r="E3" s="228">
        <v>0.26067787408828735</v>
      </c>
      <c r="F3" s="228">
        <v>8.736109733581543E-2</v>
      </c>
      <c r="G3" s="228">
        <v>0.20834517478942871</v>
      </c>
      <c r="H3" s="228">
        <v>0.102066271007061</v>
      </c>
      <c r="I3" s="228">
        <v>0.24966086447238922</v>
      </c>
      <c r="J3" s="227" t="s">
        <v>297</v>
      </c>
    </row>
    <row r="4" spans="1:10" x14ac:dyDescent="0.2">
      <c r="A4" s="227" t="s">
        <v>294</v>
      </c>
      <c r="B4" s="227" t="s">
        <v>295</v>
      </c>
      <c r="C4" s="227" t="s">
        <v>299</v>
      </c>
      <c r="D4" s="228">
        <v>0.25930041074752808</v>
      </c>
      <c r="E4" s="228">
        <v>0.18833495676517487</v>
      </c>
      <c r="F4" s="228">
        <v>0.12849198281764984</v>
      </c>
      <c r="G4" s="228">
        <v>0.11391337215900421</v>
      </c>
      <c r="H4" s="228">
        <v>0.17621508240699768</v>
      </c>
      <c r="I4" s="228">
        <v>0.13374419510364532</v>
      </c>
      <c r="J4" s="227" t="s">
        <v>297</v>
      </c>
    </row>
    <row r="5" spans="1:10" x14ac:dyDescent="0.2">
      <c r="A5" s="227" t="s">
        <v>294</v>
      </c>
      <c r="B5" s="227" t="s">
        <v>295</v>
      </c>
      <c r="C5" s="227" t="s">
        <v>300</v>
      </c>
      <c r="D5" s="228">
        <v>0.23464538156986237</v>
      </c>
      <c r="E5" s="228">
        <v>0.16456763446331024</v>
      </c>
      <c r="F5" s="228">
        <v>0.14225959777832031</v>
      </c>
      <c r="G5" s="228">
        <v>0.12094959616661072</v>
      </c>
      <c r="H5" s="228">
        <v>0.19252453744411469</v>
      </c>
      <c r="I5" s="228">
        <v>0.14505328238010406</v>
      </c>
      <c r="J5" s="227" t="s">
        <v>297</v>
      </c>
    </row>
    <row r="6" spans="1:10" x14ac:dyDescent="0.2">
      <c r="A6" s="227" t="s">
        <v>294</v>
      </c>
      <c r="B6" s="227" t="s">
        <v>295</v>
      </c>
      <c r="C6" s="227" t="s">
        <v>301</v>
      </c>
      <c r="D6" s="228">
        <v>0.57179617881774902</v>
      </c>
      <c r="E6" s="228">
        <v>0.31845176219940186</v>
      </c>
      <c r="F6" s="228">
        <v>1.2653251178562641E-2</v>
      </c>
      <c r="G6" s="228">
        <v>5.2107265219092369E-3</v>
      </c>
      <c r="H6" s="228">
        <v>5.9821359813213348E-2</v>
      </c>
      <c r="I6" s="228">
        <v>3.2066795974969864E-2</v>
      </c>
      <c r="J6" s="227" t="s">
        <v>297</v>
      </c>
    </row>
    <row r="7" spans="1:10" x14ac:dyDescent="0.2">
      <c r="A7" s="227" t="s">
        <v>294</v>
      </c>
      <c r="B7" s="227" t="s">
        <v>295</v>
      </c>
      <c r="C7" s="227" t="s">
        <v>302</v>
      </c>
      <c r="D7" s="228">
        <v>4.6776016242802143E-3</v>
      </c>
      <c r="E7" s="228">
        <v>1.0038158856332302E-2</v>
      </c>
      <c r="F7" s="228">
        <v>0.24624878168106079</v>
      </c>
      <c r="G7" s="228">
        <v>0.36545369029045105</v>
      </c>
      <c r="H7" s="228">
        <v>0.15999798476696014</v>
      </c>
      <c r="I7" s="228">
        <v>0.21358379721641541</v>
      </c>
      <c r="J7" s="227" t="s">
        <v>297</v>
      </c>
    </row>
    <row r="8" spans="1:10" x14ac:dyDescent="0.2">
      <c r="A8" s="227" t="s">
        <v>294</v>
      </c>
      <c r="B8" s="227" t="s">
        <v>295</v>
      </c>
      <c r="C8" s="227" t="s">
        <v>303</v>
      </c>
      <c r="D8" s="228">
        <v>0.24090370535850525</v>
      </c>
      <c r="E8" s="228">
        <v>0.17136038839817047</v>
      </c>
      <c r="F8" s="228">
        <v>0.14311182498931885</v>
      </c>
      <c r="G8" s="228">
        <v>0.10579679906368256</v>
      </c>
      <c r="H8" s="228">
        <v>0.20292206108570099</v>
      </c>
      <c r="I8" s="228">
        <v>0.13590522110462189</v>
      </c>
      <c r="J8" s="227" t="s">
        <v>297</v>
      </c>
    </row>
    <row r="9" spans="1:10" x14ac:dyDescent="0.2">
      <c r="A9" s="227" t="s">
        <v>294</v>
      </c>
      <c r="B9" s="227" t="s">
        <v>295</v>
      </c>
      <c r="C9" s="227" t="s">
        <v>304</v>
      </c>
      <c r="D9" s="228">
        <v>0.29792460799217224</v>
      </c>
      <c r="E9" s="228">
        <v>0.1176653653383255</v>
      </c>
      <c r="F9" s="228">
        <v>0.17201335728168488</v>
      </c>
      <c r="G9" s="228">
        <v>7.4766010046005249E-2</v>
      </c>
      <c r="H9" s="228">
        <v>0.23822788894176483</v>
      </c>
      <c r="I9" s="228">
        <v>9.9402777850627899E-2</v>
      </c>
      <c r="J9" s="227" t="s">
        <v>305</v>
      </c>
    </row>
    <row r="10" spans="1:10" x14ac:dyDescent="0.2">
      <c r="A10" s="227" t="s">
        <v>294</v>
      </c>
      <c r="B10" s="227" t="s">
        <v>295</v>
      </c>
      <c r="C10" s="227" t="s">
        <v>306</v>
      </c>
      <c r="D10" s="228">
        <v>0.1518661230802536</v>
      </c>
      <c r="E10" s="228">
        <v>0.13346080482006073</v>
      </c>
      <c r="F10" s="228">
        <v>0.15395660698413849</v>
      </c>
      <c r="G10" s="228">
        <v>0.21809077262878418</v>
      </c>
      <c r="H10" s="228">
        <v>0.15451565384864807</v>
      </c>
      <c r="I10" s="228">
        <v>0.18811005353927612</v>
      </c>
      <c r="J10" s="227" t="s">
        <v>297</v>
      </c>
    </row>
    <row r="11" spans="1:10" x14ac:dyDescent="0.2">
      <c r="A11" s="227" t="s">
        <v>294</v>
      </c>
      <c r="B11" s="227" t="s">
        <v>295</v>
      </c>
      <c r="C11" s="227" t="s">
        <v>307</v>
      </c>
      <c r="D11" s="228">
        <v>0.22862339019775391</v>
      </c>
      <c r="E11" s="228">
        <v>0.2232988029718399</v>
      </c>
      <c r="F11" s="228">
        <v>0.10982734709978104</v>
      </c>
      <c r="G11" s="228">
        <v>0.12026768922805786</v>
      </c>
      <c r="H11" s="228">
        <v>0.15932074189186096</v>
      </c>
      <c r="I11" s="228">
        <v>0.15866203606128693</v>
      </c>
      <c r="J11" s="227" t="s">
        <v>297</v>
      </c>
    </row>
    <row r="12" spans="1:10" x14ac:dyDescent="0.2">
      <c r="A12" s="227" t="s">
        <v>294</v>
      </c>
      <c r="B12" s="227" t="s">
        <v>295</v>
      </c>
      <c r="C12" s="227" t="s">
        <v>308</v>
      </c>
      <c r="D12" s="228">
        <v>0.24959740042686462</v>
      </c>
      <c r="E12" s="228">
        <v>0.12705311179161072</v>
      </c>
      <c r="F12" s="228">
        <v>0.18671543896198273</v>
      </c>
      <c r="G12" s="228">
        <v>8.5381105542182922E-2</v>
      </c>
      <c r="H12" s="228">
        <v>0.24696032702922821</v>
      </c>
      <c r="I12" s="228">
        <v>0.10429263114929199</v>
      </c>
      <c r="J12" s="227" t="s">
        <v>297</v>
      </c>
    </row>
    <row r="13" spans="1:10" x14ac:dyDescent="0.2">
      <c r="A13" s="227" t="s">
        <v>294</v>
      </c>
      <c r="B13" s="227" t="s">
        <v>295</v>
      </c>
      <c r="C13" s="227" t="s">
        <v>309</v>
      </c>
      <c r="D13" s="228">
        <v>0.25221931934356689</v>
      </c>
      <c r="E13" s="228">
        <v>0.16293339431285858</v>
      </c>
      <c r="F13" s="228">
        <v>0.14340883493423462</v>
      </c>
      <c r="G13" s="228">
        <v>0.12936493754386902</v>
      </c>
      <c r="H13" s="228">
        <v>0.17860601842403412</v>
      </c>
      <c r="I13" s="228">
        <v>0.13346748054027557</v>
      </c>
      <c r="J13" s="227" t="s">
        <v>297</v>
      </c>
    </row>
    <row r="14" spans="1:10" x14ac:dyDescent="0.2">
      <c r="A14" s="227" t="s">
        <v>294</v>
      </c>
      <c r="B14" s="227" t="s">
        <v>310</v>
      </c>
      <c r="C14" s="227" t="s">
        <v>296</v>
      </c>
      <c r="D14" s="228">
        <v>0.64220976829528809</v>
      </c>
      <c r="E14" s="228">
        <v>0.24861866235733032</v>
      </c>
      <c r="F14" s="228">
        <v>1.1991266161203384E-2</v>
      </c>
      <c r="G14" s="228">
        <v>2.4691973812878132E-3</v>
      </c>
      <c r="H14" s="228">
        <v>6.9741718471050262E-2</v>
      </c>
      <c r="I14" s="228">
        <v>2.4969404563307762E-2</v>
      </c>
      <c r="J14" s="227" t="s">
        <v>297</v>
      </c>
    </row>
    <row r="15" spans="1:10" x14ac:dyDescent="0.2">
      <c r="A15" s="227" t="s">
        <v>294</v>
      </c>
      <c r="B15" s="227" t="s">
        <v>310</v>
      </c>
      <c r="C15" s="227" t="s">
        <v>298</v>
      </c>
      <c r="D15" s="228">
        <v>9.1108590364456177E-2</v>
      </c>
      <c r="E15" s="228">
        <v>0.26157501339912415</v>
      </c>
      <c r="F15" s="228">
        <v>8.7065592408180237E-2</v>
      </c>
      <c r="G15" s="228">
        <v>0.20855194330215454</v>
      </c>
      <c r="H15" s="228">
        <v>0.10143530368804932</v>
      </c>
      <c r="I15" s="228">
        <v>0.25026357173919678</v>
      </c>
      <c r="J15" s="227" t="s">
        <v>297</v>
      </c>
    </row>
    <row r="16" spans="1:10" x14ac:dyDescent="0.2">
      <c r="A16" s="227" t="s">
        <v>294</v>
      </c>
      <c r="B16" s="227" t="s">
        <v>310</v>
      </c>
      <c r="C16" s="227" t="s">
        <v>299</v>
      </c>
      <c r="D16" s="228">
        <v>0.26768851280212402</v>
      </c>
      <c r="E16" s="228">
        <v>0.14419394731521606</v>
      </c>
      <c r="F16" s="228">
        <v>0.155865877866745</v>
      </c>
      <c r="G16" s="228">
        <v>0.10223838686943054</v>
      </c>
      <c r="H16" s="228">
        <v>0.21035254001617432</v>
      </c>
      <c r="I16" s="228">
        <v>0.11966073513031006</v>
      </c>
      <c r="J16" s="227" t="s">
        <v>297</v>
      </c>
    </row>
    <row r="17" spans="1:10" x14ac:dyDescent="0.2">
      <c r="A17" s="227" t="s">
        <v>294</v>
      </c>
      <c r="B17" s="227" t="s">
        <v>310</v>
      </c>
      <c r="C17" s="227" t="s">
        <v>300</v>
      </c>
      <c r="D17" s="228">
        <v>0.22941446304321289</v>
      </c>
      <c r="E17" s="228">
        <v>0.15240554511547089</v>
      </c>
      <c r="F17" s="228">
        <v>0.14638862013816833</v>
      </c>
      <c r="G17" s="228">
        <v>0.12531118094921112</v>
      </c>
      <c r="H17" s="228">
        <v>0.19973716139793396</v>
      </c>
      <c r="I17" s="228">
        <v>0.146743044257164</v>
      </c>
      <c r="J17" s="227" t="s">
        <v>297</v>
      </c>
    </row>
    <row r="18" spans="1:10" x14ac:dyDescent="0.2">
      <c r="A18" s="227" t="s">
        <v>294</v>
      </c>
      <c r="B18" s="227" t="s">
        <v>310</v>
      </c>
      <c r="C18" s="227" t="s">
        <v>301</v>
      </c>
      <c r="D18" s="228">
        <v>0.53652548789978027</v>
      </c>
      <c r="E18" s="228">
        <v>0.3520214855670929</v>
      </c>
      <c r="F18" s="228">
        <v>1.2245969846844673E-2</v>
      </c>
      <c r="G18" s="228">
        <v>3.7257364019751549E-3</v>
      </c>
      <c r="H18" s="228">
        <v>5.942230299115181E-2</v>
      </c>
      <c r="I18" s="228">
        <v>3.6059014499187469E-2</v>
      </c>
      <c r="J18" s="227" t="s">
        <v>297</v>
      </c>
    </row>
    <row r="19" spans="1:10" x14ac:dyDescent="0.2">
      <c r="A19" s="227" t="s">
        <v>294</v>
      </c>
      <c r="B19" s="227" t="s">
        <v>310</v>
      </c>
      <c r="C19" s="227" t="s">
        <v>302</v>
      </c>
      <c r="D19" s="228">
        <v>1.1130643077194691E-2</v>
      </c>
      <c r="E19" s="228">
        <v>1.8516214564442635E-2</v>
      </c>
      <c r="F19" s="228">
        <v>0.27529653906822205</v>
      </c>
      <c r="G19" s="228">
        <v>0.27648091316223145</v>
      </c>
      <c r="H19" s="228">
        <v>0.20927083492279053</v>
      </c>
      <c r="I19" s="228">
        <v>0.20930483937263489</v>
      </c>
      <c r="J19" s="227" t="s">
        <v>297</v>
      </c>
    </row>
    <row r="20" spans="1:10" x14ac:dyDescent="0.2">
      <c r="A20" s="227" t="s">
        <v>294</v>
      </c>
      <c r="B20" s="227" t="s">
        <v>310</v>
      </c>
      <c r="C20" s="227" t="s">
        <v>303</v>
      </c>
      <c r="D20" s="228">
        <v>0.23537138104438782</v>
      </c>
      <c r="E20" s="228">
        <v>0.13827493786811829</v>
      </c>
      <c r="F20" s="228">
        <v>0.16778218746185303</v>
      </c>
      <c r="G20" s="228">
        <v>9.6921205520629883E-2</v>
      </c>
      <c r="H20" s="228">
        <v>0.23708626627922058</v>
      </c>
      <c r="I20" s="228">
        <v>0.12456406652927399</v>
      </c>
      <c r="J20" s="227" t="s">
        <v>297</v>
      </c>
    </row>
    <row r="21" spans="1:10" x14ac:dyDescent="0.2">
      <c r="A21" s="227" t="s">
        <v>294</v>
      </c>
      <c r="B21" s="227" t="s">
        <v>310</v>
      </c>
      <c r="C21" s="227" t="s">
        <v>304</v>
      </c>
      <c r="D21" s="228">
        <v>0.30978742241859436</v>
      </c>
      <c r="E21" s="228">
        <v>8.0916091799736023E-2</v>
      </c>
      <c r="F21" s="228">
        <v>0.19949638843536377</v>
      </c>
      <c r="G21" s="228">
        <v>5.6273944675922394E-2</v>
      </c>
      <c r="H21" s="228">
        <v>0.27596944570541382</v>
      </c>
      <c r="I21" s="228">
        <v>7.7556714415550232E-2</v>
      </c>
      <c r="J21" s="227" t="s">
        <v>305</v>
      </c>
    </row>
    <row r="22" spans="1:10" x14ac:dyDescent="0.2">
      <c r="A22" s="227" t="s">
        <v>294</v>
      </c>
      <c r="B22" s="227" t="s">
        <v>310</v>
      </c>
      <c r="C22" s="227" t="s">
        <v>306</v>
      </c>
      <c r="D22" s="228">
        <v>0.25676447153091431</v>
      </c>
      <c r="E22" s="228">
        <v>0.1858830600976944</v>
      </c>
      <c r="F22" s="228">
        <v>0.12271811068058014</v>
      </c>
      <c r="G22" s="228">
        <v>0.14014913141727448</v>
      </c>
      <c r="H22" s="228">
        <v>0.15369075536727905</v>
      </c>
      <c r="I22" s="228">
        <v>0.14079447090625763</v>
      </c>
      <c r="J22" s="227" t="s">
        <v>297</v>
      </c>
    </row>
    <row r="23" spans="1:10" x14ac:dyDescent="0.2">
      <c r="A23" s="227" t="s">
        <v>294</v>
      </c>
      <c r="B23" s="227" t="s">
        <v>310</v>
      </c>
      <c r="C23" s="227" t="s">
        <v>307</v>
      </c>
      <c r="D23" s="228">
        <v>0.22988882660865784</v>
      </c>
      <c r="E23" s="228">
        <v>0.2219979465007782</v>
      </c>
      <c r="F23" s="228">
        <v>0.11068055778741837</v>
      </c>
      <c r="G23" s="228">
        <v>0.11926066130399704</v>
      </c>
      <c r="H23" s="228">
        <v>0.16031299531459808</v>
      </c>
      <c r="I23" s="228">
        <v>0.15785899758338928</v>
      </c>
      <c r="J23" s="227" t="s">
        <v>297</v>
      </c>
    </row>
    <row r="24" spans="1:10" x14ac:dyDescent="0.2">
      <c r="A24" s="227" t="s">
        <v>294</v>
      </c>
      <c r="B24" s="227" t="s">
        <v>310</v>
      </c>
      <c r="C24" s="227" t="s">
        <v>308</v>
      </c>
      <c r="D24" s="228">
        <v>0.26840859651565552</v>
      </c>
      <c r="E24" s="228">
        <v>4.8827558755874634E-2</v>
      </c>
      <c r="F24" s="228">
        <v>0.2651817798614502</v>
      </c>
      <c r="G24" s="228">
        <v>3.3123064786195755E-2</v>
      </c>
      <c r="H24" s="228">
        <v>0.34694653749465942</v>
      </c>
      <c r="I24" s="228">
        <v>3.7512451410293579E-2</v>
      </c>
      <c r="J24" s="227" t="s">
        <v>297</v>
      </c>
    </row>
    <row r="25" spans="1:10" x14ac:dyDescent="0.2">
      <c r="A25" s="227" t="s">
        <v>294</v>
      </c>
      <c r="B25" s="227" t="s">
        <v>310</v>
      </c>
      <c r="C25" s="227" t="s">
        <v>309</v>
      </c>
      <c r="D25" s="228">
        <v>0.2348192036151886</v>
      </c>
      <c r="E25" s="228">
        <v>0.12369322776794434</v>
      </c>
      <c r="F25" s="228">
        <v>0.17248368263244629</v>
      </c>
      <c r="G25" s="228">
        <v>0.14237141609191895</v>
      </c>
      <c r="H25" s="228">
        <v>0.19016094505786896</v>
      </c>
      <c r="I25" s="228">
        <v>0.13647155463695526</v>
      </c>
      <c r="J25" s="227" t="s">
        <v>297</v>
      </c>
    </row>
    <row r="26" spans="1:10" x14ac:dyDescent="0.2">
      <c r="A26" s="227" t="s">
        <v>294</v>
      </c>
      <c r="B26" s="227" t="s">
        <v>311</v>
      </c>
      <c r="C26" s="227" t="s">
        <v>296</v>
      </c>
      <c r="D26" s="228">
        <v>0.56371641159057617</v>
      </c>
      <c r="E26" s="228">
        <v>0.32269862294197083</v>
      </c>
      <c r="F26" s="228">
        <v>1.2330606579780579E-2</v>
      </c>
      <c r="G26" s="228">
        <v>5.5424002930521965E-3</v>
      </c>
      <c r="H26" s="228">
        <v>6.0562282800674438E-2</v>
      </c>
      <c r="I26" s="228">
        <v>3.5149674862623215E-2</v>
      </c>
      <c r="J26" s="227" t="s">
        <v>297</v>
      </c>
    </row>
    <row r="27" spans="1:10" x14ac:dyDescent="0.2">
      <c r="A27" s="227" t="s">
        <v>294</v>
      </c>
      <c r="B27" s="227" t="s">
        <v>311</v>
      </c>
      <c r="C27" s="227" t="s">
        <v>298</v>
      </c>
      <c r="D27" s="228">
        <v>9.1669589281082153E-2</v>
      </c>
      <c r="E27" s="228">
        <v>0.26034942269325256</v>
      </c>
      <c r="F27" s="228">
        <v>8.7873473763465881E-2</v>
      </c>
      <c r="G27" s="228">
        <v>0.20823147892951965</v>
      </c>
      <c r="H27" s="228">
        <v>0.10221496969461441</v>
      </c>
      <c r="I27" s="228">
        <v>0.24966108798980713</v>
      </c>
      <c r="J27" s="227" t="s">
        <v>297</v>
      </c>
    </row>
    <row r="28" spans="1:10" x14ac:dyDescent="0.2">
      <c r="A28" s="227" t="s">
        <v>294</v>
      </c>
      <c r="B28" s="227" t="s">
        <v>311</v>
      </c>
      <c r="C28" s="227" t="s">
        <v>299</v>
      </c>
      <c r="D28" s="228">
        <v>0.24077244102954865</v>
      </c>
      <c r="E28" s="228">
        <v>0.18360160291194916</v>
      </c>
      <c r="F28" s="228">
        <v>0.13816483318805695</v>
      </c>
      <c r="G28" s="228">
        <v>0.11014959216117859</v>
      </c>
      <c r="H28" s="228">
        <v>0.18934419751167297</v>
      </c>
      <c r="I28" s="228">
        <v>0.13796737790107727</v>
      </c>
      <c r="J28" s="227" t="s">
        <v>297</v>
      </c>
    </row>
    <row r="29" spans="1:10" x14ac:dyDescent="0.2">
      <c r="A29" s="227" t="s">
        <v>294</v>
      </c>
      <c r="B29" s="227" t="s">
        <v>311</v>
      </c>
      <c r="C29" s="227" t="s">
        <v>300</v>
      </c>
      <c r="D29" s="228">
        <v>0.2217617928981781</v>
      </c>
      <c r="E29" s="228">
        <v>0.18020845949649811</v>
      </c>
      <c r="F29" s="228">
        <v>0.13483560085296631</v>
      </c>
      <c r="G29" s="228">
        <v>0.12724499404430389</v>
      </c>
      <c r="H29" s="228">
        <v>0.18176150321960449</v>
      </c>
      <c r="I29" s="228">
        <v>0.1541876494884491</v>
      </c>
      <c r="J29" s="227" t="s">
        <v>297</v>
      </c>
    </row>
    <row r="30" spans="1:10" x14ac:dyDescent="0.2">
      <c r="A30" s="227" t="s">
        <v>294</v>
      </c>
      <c r="B30" s="227" t="s">
        <v>311</v>
      </c>
      <c r="C30" s="227" t="s">
        <v>302</v>
      </c>
      <c r="D30" s="228">
        <v>1.3003064086660743E-3</v>
      </c>
      <c r="E30" s="228">
        <v>7.5555634684860706E-3</v>
      </c>
      <c r="F30" s="228">
        <v>0.24722000956535339</v>
      </c>
      <c r="G30" s="228">
        <v>0.31881389021873474</v>
      </c>
      <c r="H30" s="228">
        <v>0.18539227545261383</v>
      </c>
      <c r="I30" s="228">
        <v>0.23971794545650482</v>
      </c>
      <c r="J30" s="227" t="s">
        <v>297</v>
      </c>
    </row>
    <row r="31" spans="1:10" x14ac:dyDescent="0.2">
      <c r="A31" s="227" t="s">
        <v>294</v>
      </c>
      <c r="B31" s="227" t="s">
        <v>311</v>
      </c>
      <c r="C31" s="227" t="s">
        <v>303</v>
      </c>
      <c r="D31" s="228">
        <v>0.23923778533935547</v>
      </c>
      <c r="E31" s="228">
        <v>0.17961785197257996</v>
      </c>
      <c r="F31" s="228">
        <v>0.13426387310028076</v>
      </c>
      <c r="G31" s="228">
        <v>0.11203254014253616</v>
      </c>
      <c r="H31" s="228">
        <v>0.19373235106468201</v>
      </c>
      <c r="I31" s="228">
        <v>0.14111563563346863</v>
      </c>
      <c r="J31" s="227" t="s">
        <v>297</v>
      </c>
    </row>
    <row r="32" spans="1:10" x14ac:dyDescent="0.2">
      <c r="A32" s="227" t="s">
        <v>294</v>
      </c>
      <c r="B32" s="227" t="s">
        <v>311</v>
      </c>
      <c r="C32" s="227" t="s">
        <v>304</v>
      </c>
      <c r="D32" s="228">
        <v>0.22512301802635193</v>
      </c>
      <c r="E32" s="228">
        <v>0.19423109292984009</v>
      </c>
      <c r="F32" s="228">
        <v>0.12821751832962036</v>
      </c>
      <c r="G32" s="228">
        <v>0.11827799677848816</v>
      </c>
      <c r="H32" s="228">
        <v>0.17663829028606415</v>
      </c>
      <c r="I32" s="228">
        <v>0.15751208364963531</v>
      </c>
      <c r="J32" s="227" t="s">
        <v>305</v>
      </c>
    </row>
    <row r="33" spans="1:10" x14ac:dyDescent="0.2">
      <c r="A33" s="227" t="s">
        <v>294</v>
      </c>
      <c r="B33" s="227" t="s">
        <v>311</v>
      </c>
      <c r="C33" s="227" t="s">
        <v>306</v>
      </c>
      <c r="D33" s="228">
        <v>8.3958439528942108E-2</v>
      </c>
      <c r="E33" s="228">
        <v>7.7587872743606567E-2</v>
      </c>
      <c r="F33" s="228">
        <v>0.16388463973999023</v>
      </c>
      <c r="G33" s="228">
        <v>0.28951743245124817</v>
      </c>
      <c r="H33" s="228">
        <v>0.1428837776184082</v>
      </c>
      <c r="I33" s="228">
        <v>0.24216783046722412</v>
      </c>
      <c r="J33" s="227" t="s">
        <v>297</v>
      </c>
    </row>
    <row r="34" spans="1:10" x14ac:dyDescent="0.2">
      <c r="A34" s="227" t="s">
        <v>294</v>
      </c>
      <c r="B34" s="227" t="s">
        <v>311</v>
      </c>
      <c r="C34" s="227" t="s">
        <v>309</v>
      </c>
      <c r="D34" s="228">
        <v>0.24009805917739868</v>
      </c>
      <c r="E34" s="228">
        <v>0.16730009019374847</v>
      </c>
      <c r="F34" s="228">
        <v>0.13956212997436523</v>
      </c>
      <c r="G34" s="228">
        <v>0.14056053757667542</v>
      </c>
      <c r="H34" s="228">
        <v>0.16697892546653748</v>
      </c>
      <c r="I34" s="228">
        <v>0.14550025761127472</v>
      </c>
      <c r="J34" s="227" t="s">
        <v>297</v>
      </c>
    </row>
    <row r="35" spans="1:10" x14ac:dyDescent="0.2">
      <c r="A35" s="227" t="s">
        <v>294</v>
      </c>
      <c r="B35" s="227" t="s">
        <v>312</v>
      </c>
      <c r="C35" s="227" t="s">
        <v>296</v>
      </c>
      <c r="D35" s="228">
        <v>0.50646823644638062</v>
      </c>
      <c r="E35" s="228">
        <v>0.35202771425247192</v>
      </c>
      <c r="F35" s="228">
        <v>1.8743103370070457E-2</v>
      </c>
      <c r="G35" s="228">
        <v>6.7971646785736084E-3</v>
      </c>
      <c r="H35" s="228">
        <v>7.3795631527900696E-2</v>
      </c>
      <c r="I35" s="228">
        <v>4.2168140411376953E-2</v>
      </c>
      <c r="J35" s="227" t="s">
        <v>297</v>
      </c>
    </row>
    <row r="36" spans="1:10" x14ac:dyDescent="0.2">
      <c r="A36" s="227" t="s">
        <v>294</v>
      </c>
      <c r="B36" s="227" t="s">
        <v>312</v>
      </c>
      <c r="C36" s="227" t="s">
        <v>298</v>
      </c>
      <c r="D36" s="228">
        <v>9.1007143259048462E-2</v>
      </c>
      <c r="E36" s="228">
        <v>0.26169633865356445</v>
      </c>
      <c r="F36" s="228">
        <v>8.7050929665565491E-2</v>
      </c>
      <c r="G36" s="228">
        <v>0.20855791866779327</v>
      </c>
      <c r="H36" s="228">
        <v>0.10135778784751892</v>
      </c>
      <c r="I36" s="228">
        <v>0.25032991170883179</v>
      </c>
      <c r="J36" s="227" t="s">
        <v>297</v>
      </c>
    </row>
    <row r="37" spans="1:10" x14ac:dyDescent="0.2">
      <c r="A37" s="227" t="s">
        <v>294</v>
      </c>
      <c r="B37" s="227" t="s">
        <v>312</v>
      </c>
      <c r="C37" s="227" t="s">
        <v>299</v>
      </c>
      <c r="D37" s="228">
        <v>0.2319892942905426</v>
      </c>
      <c r="E37" s="228">
        <v>0.21071001887321472</v>
      </c>
      <c r="F37" s="228">
        <v>0.11738839745521545</v>
      </c>
      <c r="G37" s="228">
        <v>0.11723403632640839</v>
      </c>
      <c r="H37" s="228">
        <v>0.16866503655910492</v>
      </c>
      <c r="I37" s="228">
        <v>0.1540132462978363</v>
      </c>
      <c r="J37" s="227" t="s">
        <v>297</v>
      </c>
    </row>
    <row r="38" spans="1:10" x14ac:dyDescent="0.2">
      <c r="A38" s="227" t="s">
        <v>294</v>
      </c>
      <c r="B38" s="227" t="s">
        <v>312</v>
      </c>
      <c r="C38" s="227" t="s">
        <v>300</v>
      </c>
      <c r="D38" s="228">
        <v>0.20451050996780396</v>
      </c>
      <c r="E38" s="228">
        <v>0.21215660870075226</v>
      </c>
      <c r="F38" s="228">
        <v>0.11644524335861206</v>
      </c>
      <c r="G38" s="228">
        <v>0.1323884129524231</v>
      </c>
      <c r="H38" s="228">
        <v>0.16466799378395081</v>
      </c>
      <c r="I38" s="228">
        <v>0.16983124613761902</v>
      </c>
      <c r="J38" s="227" t="s">
        <v>297</v>
      </c>
    </row>
    <row r="39" spans="1:10" x14ac:dyDescent="0.2">
      <c r="A39" s="227" t="s">
        <v>294</v>
      </c>
      <c r="B39" s="227" t="s">
        <v>312</v>
      </c>
      <c r="C39" s="227" t="s">
        <v>301</v>
      </c>
      <c r="D39" s="228">
        <v>0.50092434883117676</v>
      </c>
      <c r="E39" s="228">
        <v>0.39049828052520752</v>
      </c>
      <c r="F39" s="228">
        <v>1.1417020112276077E-2</v>
      </c>
      <c r="G39" s="228">
        <v>3.261093981564045E-3</v>
      </c>
      <c r="H39" s="228">
        <v>5.5574163794517517E-2</v>
      </c>
      <c r="I39" s="228">
        <v>3.8325134664773941E-2</v>
      </c>
      <c r="J39" s="227" t="s">
        <v>297</v>
      </c>
    </row>
    <row r="40" spans="1:10" x14ac:dyDescent="0.2">
      <c r="A40" s="227" t="s">
        <v>294</v>
      </c>
      <c r="B40" s="227" t="s">
        <v>312</v>
      </c>
      <c r="C40" s="227" t="s">
        <v>302</v>
      </c>
      <c r="D40" s="228">
        <v>1.3696334324777126E-2</v>
      </c>
      <c r="E40" s="228">
        <v>2.2228606045246124E-2</v>
      </c>
      <c r="F40" s="228">
        <v>0.21572838723659515</v>
      </c>
      <c r="G40" s="228">
        <v>0.34794461727142334</v>
      </c>
      <c r="H40" s="228">
        <v>0.15224862098693848</v>
      </c>
      <c r="I40" s="228">
        <v>0.2481534481048584</v>
      </c>
      <c r="J40" s="227" t="s">
        <v>297</v>
      </c>
    </row>
    <row r="41" spans="1:10" x14ac:dyDescent="0.2">
      <c r="A41" s="227" t="s">
        <v>294</v>
      </c>
      <c r="B41" s="227" t="s">
        <v>312</v>
      </c>
      <c r="C41" s="227" t="s">
        <v>303</v>
      </c>
      <c r="D41" s="228">
        <v>0.23280996084213257</v>
      </c>
      <c r="E41" s="228">
        <v>0.18617600202560425</v>
      </c>
      <c r="F41" s="228">
        <v>0.13587628304958344</v>
      </c>
      <c r="G41" s="228">
        <v>0.11053036153316498</v>
      </c>
      <c r="H41" s="228">
        <v>0.19065894186496735</v>
      </c>
      <c r="I41" s="228">
        <v>0.14394843578338623</v>
      </c>
      <c r="J41" s="227" t="s">
        <v>297</v>
      </c>
    </row>
    <row r="42" spans="1:10" x14ac:dyDescent="0.2">
      <c r="A42" s="227" t="s">
        <v>294</v>
      </c>
      <c r="B42" s="227" t="s">
        <v>312</v>
      </c>
      <c r="C42" s="227" t="s">
        <v>304</v>
      </c>
      <c r="D42" s="228">
        <v>0.27766326069831848</v>
      </c>
      <c r="E42" s="228">
        <v>0.1413283497095108</v>
      </c>
      <c r="F42" s="228">
        <v>0.15782593190670013</v>
      </c>
      <c r="G42" s="228">
        <v>8.8721565902233124E-2</v>
      </c>
      <c r="H42" s="228">
        <v>0.21794320642948151</v>
      </c>
      <c r="I42" s="228">
        <v>0.11651767045259476</v>
      </c>
      <c r="J42" s="227" t="s">
        <v>305</v>
      </c>
    </row>
    <row r="43" spans="1:10" x14ac:dyDescent="0.2">
      <c r="A43" s="227" t="s">
        <v>294</v>
      </c>
      <c r="B43" s="227" t="s">
        <v>312</v>
      </c>
      <c r="C43" s="227" t="s">
        <v>306</v>
      </c>
      <c r="D43" s="228">
        <v>0.33206191658973694</v>
      </c>
      <c r="E43" s="228">
        <v>0.34388571977615356</v>
      </c>
      <c r="F43" s="228">
        <v>5.4323870688676834E-2</v>
      </c>
      <c r="G43" s="228">
        <v>5.3767971694469452E-2</v>
      </c>
      <c r="H43" s="228">
        <v>0.11543576419353485</v>
      </c>
      <c r="I43" s="228">
        <v>0.10052479058504105</v>
      </c>
      <c r="J43" s="227" t="s">
        <v>297</v>
      </c>
    </row>
    <row r="44" spans="1:10" x14ac:dyDescent="0.2">
      <c r="A44" s="227" t="s">
        <v>294</v>
      </c>
      <c r="B44" s="227" t="s">
        <v>312</v>
      </c>
      <c r="C44" s="227" t="s">
        <v>307</v>
      </c>
      <c r="D44" s="228">
        <v>0.23743276298046112</v>
      </c>
      <c r="E44" s="228">
        <v>0.22139400243759155</v>
      </c>
      <c r="F44" s="228">
        <v>0.11055615544319153</v>
      </c>
      <c r="G44" s="228">
        <v>0.11590387672185898</v>
      </c>
      <c r="H44" s="228">
        <v>0.16143377125263214</v>
      </c>
      <c r="I44" s="228">
        <v>0.15327942371368408</v>
      </c>
      <c r="J44" s="227" t="s">
        <v>297</v>
      </c>
    </row>
    <row r="45" spans="1:10" x14ac:dyDescent="0.2">
      <c r="A45" s="227" t="s">
        <v>294</v>
      </c>
      <c r="B45" s="227" t="s">
        <v>312</v>
      </c>
      <c r="C45" s="227" t="s">
        <v>308</v>
      </c>
      <c r="D45" s="228">
        <v>0.22174966335296631</v>
      </c>
      <c r="E45" s="228">
        <v>0.16951602697372437</v>
      </c>
      <c r="F45" s="228">
        <v>0.1485588401556015</v>
      </c>
      <c r="G45" s="228">
        <v>0.11749212443828583</v>
      </c>
      <c r="H45" s="228">
        <v>0.19934752583503723</v>
      </c>
      <c r="I45" s="228">
        <v>0.14333581924438477</v>
      </c>
      <c r="J45" s="227" t="s">
        <v>297</v>
      </c>
    </row>
    <row r="46" spans="1:10" x14ac:dyDescent="0.2">
      <c r="A46" s="227" t="s">
        <v>294</v>
      </c>
      <c r="B46" s="227" t="s">
        <v>312</v>
      </c>
      <c r="C46" s="227" t="s">
        <v>309</v>
      </c>
      <c r="D46" s="228">
        <v>0.25774267315864563</v>
      </c>
      <c r="E46" s="228">
        <v>0.20042191445827484</v>
      </c>
      <c r="F46" s="228">
        <v>0.12201105803251266</v>
      </c>
      <c r="G46" s="228">
        <v>0.11990395933389664</v>
      </c>
      <c r="H46" s="228">
        <v>0.16226953268051147</v>
      </c>
      <c r="I46" s="228">
        <v>0.13765087723731995</v>
      </c>
      <c r="J46" s="227" t="s">
        <v>297</v>
      </c>
    </row>
    <row r="47" spans="1:10" x14ac:dyDescent="0.2">
      <c r="A47" s="227" t="s">
        <v>294</v>
      </c>
      <c r="B47" s="227" t="s">
        <v>313</v>
      </c>
      <c r="C47" s="227" t="s">
        <v>296</v>
      </c>
      <c r="D47" s="228">
        <v>0.38640484213829041</v>
      </c>
      <c r="E47" s="228">
        <v>0.30787855386734009</v>
      </c>
      <c r="F47" s="228">
        <v>5.298314243555069E-2</v>
      </c>
      <c r="G47" s="228">
        <v>5.0540685653686523E-2</v>
      </c>
      <c r="H47" s="228">
        <v>0.10814744234085083</v>
      </c>
      <c r="I47" s="228">
        <v>9.4045326113700867E-2</v>
      </c>
      <c r="J47" s="227" t="s">
        <v>297</v>
      </c>
    </row>
    <row r="48" spans="1:10" x14ac:dyDescent="0.2">
      <c r="A48" s="227" t="s">
        <v>294</v>
      </c>
      <c r="B48" s="227" t="s">
        <v>313</v>
      </c>
      <c r="C48" s="227" t="s">
        <v>298</v>
      </c>
      <c r="D48" s="228">
        <v>9.1539375483989716E-2</v>
      </c>
      <c r="E48" s="228">
        <v>0.26051080226898193</v>
      </c>
      <c r="F48" s="228">
        <v>8.7774716317653656E-2</v>
      </c>
      <c r="G48" s="228">
        <v>0.20834478735923767</v>
      </c>
      <c r="H48" s="228">
        <v>0.10207346826791763</v>
      </c>
      <c r="I48" s="228">
        <v>0.24975690245628357</v>
      </c>
      <c r="J48" s="227" t="s">
        <v>297</v>
      </c>
    </row>
    <row r="49" spans="1:10" x14ac:dyDescent="0.2">
      <c r="A49" s="227" t="s">
        <v>294</v>
      </c>
      <c r="B49" s="227" t="s">
        <v>313</v>
      </c>
      <c r="C49" s="227" t="s">
        <v>299</v>
      </c>
      <c r="D49" s="228">
        <v>0.27922594547271729</v>
      </c>
      <c r="E49" s="228">
        <v>0.2377031147480011</v>
      </c>
      <c r="F49" s="228">
        <v>0.1018492728471756</v>
      </c>
      <c r="G49" s="228">
        <v>0.11638836562633514</v>
      </c>
      <c r="H49" s="228">
        <v>0.13782998919487</v>
      </c>
      <c r="I49" s="228">
        <v>0.12700334191322327</v>
      </c>
      <c r="J49" s="227" t="s">
        <v>297</v>
      </c>
    </row>
    <row r="50" spans="1:10" x14ac:dyDescent="0.2">
      <c r="A50" s="227" t="s">
        <v>294</v>
      </c>
      <c r="B50" s="227" t="s">
        <v>313</v>
      </c>
      <c r="C50" s="227" t="s">
        <v>300</v>
      </c>
      <c r="D50" s="228">
        <v>0.19649530947208405</v>
      </c>
      <c r="E50" s="228">
        <v>0.14893750846385956</v>
      </c>
      <c r="F50" s="228">
        <v>0.1534217894077301</v>
      </c>
      <c r="G50" s="228">
        <v>0.13175508379936218</v>
      </c>
      <c r="H50" s="228">
        <v>0.21008895337581635</v>
      </c>
      <c r="I50" s="228">
        <v>0.15930135548114777</v>
      </c>
      <c r="J50" s="227" t="s">
        <v>297</v>
      </c>
    </row>
    <row r="51" spans="1:10" x14ac:dyDescent="0.2">
      <c r="A51" s="227" t="s">
        <v>294</v>
      </c>
      <c r="B51" s="227" t="s">
        <v>313</v>
      </c>
      <c r="C51" s="227" t="s">
        <v>301</v>
      </c>
      <c r="D51" s="228">
        <v>0.4756949245929718</v>
      </c>
      <c r="E51" s="228">
        <v>0.42764467000961304</v>
      </c>
      <c r="F51" s="228">
        <v>8.7612178176641464E-3</v>
      </c>
      <c r="G51" s="228">
        <v>2.4324078112840652E-3</v>
      </c>
      <c r="H51" s="228">
        <v>4.899950698018074E-2</v>
      </c>
      <c r="I51" s="228">
        <v>3.6467276513576508E-2</v>
      </c>
      <c r="J51" s="227" t="s">
        <v>297</v>
      </c>
    </row>
    <row r="52" spans="1:10" x14ac:dyDescent="0.2">
      <c r="A52" s="227" t="s">
        <v>294</v>
      </c>
      <c r="B52" s="227" t="s">
        <v>313</v>
      </c>
      <c r="C52" s="227" t="s">
        <v>302</v>
      </c>
      <c r="D52" s="228">
        <v>1.9394545815885067E-3</v>
      </c>
      <c r="E52" s="228">
        <v>4.0143509395420551E-3</v>
      </c>
      <c r="F52" s="228">
        <v>0.2637372612953186</v>
      </c>
      <c r="G52" s="228">
        <v>0.38869434595108032</v>
      </c>
      <c r="H52" s="228">
        <v>0.15129317343235016</v>
      </c>
      <c r="I52" s="228">
        <v>0.1903214156627655</v>
      </c>
      <c r="J52" s="227" t="s">
        <v>297</v>
      </c>
    </row>
    <row r="53" spans="1:10" x14ac:dyDescent="0.2">
      <c r="A53" s="227" t="s">
        <v>294</v>
      </c>
      <c r="B53" s="227" t="s">
        <v>313</v>
      </c>
      <c r="C53" s="227" t="s">
        <v>303</v>
      </c>
      <c r="D53" s="228">
        <v>0.19576916098594666</v>
      </c>
      <c r="E53" s="228">
        <v>0.22345191240310669</v>
      </c>
      <c r="F53" s="228">
        <v>0.11115393787622452</v>
      </c>
      <c r="G53" s="228">
        <v>0.13545906543731689</v>
      </c>
      <c r="H53" s="228">
        <v>0.15897944569587708</v>
      </c>
      <c r="I53" s="228">
        <v>0.17518645524978638</v>
      </c>
      <c r="J53" s="227" t="s">
        <v>297</v>
      </c>
    </row>
    <row r="54" spans="1:10" x14ac:dyDescent="0.2">
      <c r="A54" s="227" t="s">
        <v>294</v>
      </c>
      <c r="B54" s="227" t="s">
        <v>313</v>
      </c>
      <c r="C54" s="227" t="s">
        <v>304</v>
      </c>
      <c r="D54" s="228">
        <v>0.21671943366527557</v>
      </c>
      <c r="E54" s="228">
        <v>0.20237524807453156</v>
      </c>
      <c r="F54" s="228">
        <v>0.12361669540405273</v>
      </c>
      <c r="G54" s="228">
        <v>0.12312073260545731</v>
      </c>
      <c r="H54" s="228">
        <v>0.17009852826595306</v>
      </c>
      <c r="I54" s="228">
        <v>0.16406935453414917</v>
      </c>
      <c r="J54" s="227" t="s">
        <v>305</v>
      </c>
    </row>
    <row r="55" spans="1:10" x14ac:dyDescent="0.2">
      <c r="A55" s="227" t="s">
        <v>294</v>
      </c>
      <c r="B55" s="227" t="s">
        <v>313</v>
      </c>
      <c r="C55" s="227" t="s">
        <v>306</v>
      </c>
      <c r="D55" s="228">
        <v>0.19431799650192261</v>
      </c>
      <c r="E55" s="228">
        <v>0.22538609802722931</v>
      </c>
      <c r="F55" s="228">
        <v>0.11119464039802551</v>
      </c>
      <c r="G55" s="228">
        <v>0.13549864292144775</v>
      </c>
      <c r="H55" s="228">
        <v>0.15847113728523254</v>
      </c>
      <c r="I55" s="228">
        <v>0.17513144016265869</v>
      </c>
      <c r="J55" s="227" t="s">
        <v>297</v>
      </c>
    </row>
    <row r="56" spans="1:10" x14ac:dyDescent="0.2">
      <c r="A56" s="227" t="s">
        <v>294</v>
      </c>
      <c r="B56" s="227" t="s">
        <v>313</v>
      </c>
      <c r="C56" s="227" t="s">
        <v>307</v>
      </c>
      <c r="D56" s="228">
        <v>0.21506088972091675</v>
      </c>
      <c r="E56" s="228">
        <v>0.22747260332107544</v>
      </c>
      <c r="F56" s="228">
        <v>0.1078888475894928</v>
      </c>
      <c r="G56" s="228">
        <v>0.12748566269874573</v>
      </c>
      <c r="H56" s="228">
        <v>0.15557979047298431</v>
      </c>
      <c r="I56" s="228">
        <v>0.16651225090026855</v>
      </c>
      <c r="J56" s="227" t="s">
        <v>297</v>
      </c>
    </row>
    <row r="57" spans="1:10" x14ac:dyDescent="0.2">
      <c r="A57" s="227" t="s">
        <v>294</v>
      </c>
      <c r="B57" s="227" t="s">
        <v>313</v>
      </c>
      <c r="C57" s="227" t="s">
        <v>308</v>
      </c>
      <c r="D57" s="228">
        <v>0.18832491338253021</v>
      </c>
      <c r="E57" s="228">
        <v>0.19691456854343414</v>
      </c>
      <c r="F57" s="228">
        <v>0.12606067955493927</v>
      </c>
      <c r="G57" s="228">
        <v>0.14499929547309875</v>
      </c>
      <c r="H57" s="228">
        <v>0.17035290598869324</v>
      </c>
      <c r="I57" s="228">
        <v>0.17334763705730438</v>
      </c>
      <c r="J57" s="227" t="s">
        <v>297</v>
      </c>
    </row>
    <row r="58" spans="1:10" x14ac:dyDescent="0.2">
      <c r="A58" s="227" t="s">
        <v>294</v>
      </c>
      <c r="B58" s="227" t="s">
        <v>313</v>
      </c>
      <c r="C58" s="227" t="s">
        <v>309</v>
      </c>
      <c r="D58" s="228">
        <v>0.21994432806968689</v>
      </c>
      <c r="E58" s="228">
        <v>0.224234938621521</v>
      </c>
      <c r="F58" s="228">
        <v>0.11071904748678207</v>
      </c>
      <c r="G58" s="228">
        <v>0.14009185135364532</v>
      </c>
      <c r="H58" s="228">
        <v>0.14505326747894287</v>
      </c>
      <c r="I58" s="228">
        <v>0.15995652973651886</v>
      </c>
      <c r="J58" s="227" t="s">
        <v>297</v>
      </c>
    </row>
    <row r="59" spans="1:10" x14ac:dyDescent="0.2">
      <c r="A59" s="227" t="s">
        <v>294</v>
      </c>
      <c r="B59" s="227" t="s">
        <v>314</v>
      </c>
      <c r="C59" s="227" t="s">
        <v>296</v>
      </c>
      <c r="D59" s="228">
        <v>0.54169332981109619</v>
      </c>
      <c r="E59" s="228">
        <v>0.28725573420524597</v>
      </c>
      <c r="F59" s="228">
        <v>2.448091097176075E-2</v>
      </c>
      <c r="G59" s="228">
        <v>1.7157681286334991E-2</v>
      </c>
      <c r="H59" s="228">
        <v>8.2102753221988678E-2</v>
      </c>
      <c r="I59" s="228">
        <v>4.7309555113315582E-2</v>
      </c>
      <c r="J59" s="227" t="s">
        <v>297</v>
      </c>
    </row>
    <row r="60" spans="1:10" x14ac:dyDescent="0.2">
      <c r="A60" s="227" t="s">
        <v>294</v>
      </c>
      <c r="B60" s="227" t="s">
        <v>314</v>
      </c>
      <c r="C60" s="227" t="s">
        <v>298</v>
      </c>
      <c r="D60" s="228">
        <v>9.2153020203113556E-2</v>
      </c>
      <c r="E60" s="228">
        <v>0.26072472333908081</v>
      </c>
      <c r="F60" s="228">
        <v>8.7140440940856934E-2</v>
      </c>
      <c r="G60" s="228">
        <v>0.20831313729286194</v>
      </c>
      <c r="H60" s="228">
        <v>0.10211984813213348</v>
      </c>
      <c r="I60" s="228">
        <v>0.24954882264137268</v>
      </c>
      <c r="J60" s="227" t="s">
        <v>297</v>
      </c>
    </row>
    <row r="61" spans="1:10" x14ac:dyDescent="0.2">
      <c r="A61" s="227" t="s">
        <v>294</v>
      </c>
      <c r="B61" s="227" t="s">
        <v>314</v>
      </c>
      <c r="C61" s="227" t="s">
        <v>299</v>
      </c>
      <c r="D61" s="228">
        <v>0.24953421950340271</v>
      </c>
      <c r="E61" s="228">
        <v>0.19286069273948669</v>
      </c>
      <c r="F61" s="228">
        <v>0.12338053435087204</v>
      </c>
      <c r="G61" s="228">
        <v>0.11752239614725113</v>
      </c>
      <c r="H61" s="228">
        <v>0.17220184206962585</v>
      </c>
      <c r="I61" s="228">
        <v>0.14450030028820038</v>
      </c>
      <c r="J61" s="227" t="s">
        <v>297</v>
      </c>
    </row>
    <row r="62" spans="1:10" x14ac:dyDescent="0.2">
      <c r="A62" s="227" t="s">
        <v>294</v>
      </c>
      <c r="B62" s="227" t="s">
        <v>314</v>
      </c>
      <c r="C62" s="227" t="s">
        <v>300</v>
      </c>
      <c r="D62" s="228">
        <v>0.25900906324386597</v>
      </c>
      <c r="E62" s="228">
        <v>0.15358860790729523</v>
      </c>
      <c r="F62" s="228">
        <v>0.15640938282012939</v>
      </c>
      <c r="G62" s="228">
        <v>9.3437105417251587E-2</v>
      </c>
      <c r="H62" s="228">
        <v>0.21587790548801422</v>
      </c>
      <c r="I62" s="228">
        <v>0.1216779351234436</v>
      </c>
      <c r="J62" s="227" t="s">
        <v>297</v>
      </c>
    </row>
    <row r="63" spans="1:10" x14ac:dyDescent="0.2">
      <c r="A63" s="227" t="s">
        <v>294</v>
      </c>
      <c r="B63" s="227" t="s">
        <v>314</v>
      </c>
      <c r="C63" s="227" t="s">
        <v>301</v>
      </c>
      <c r="D63" s="228">
        <v>0.56566989421844482</v>
      </c>
      <c r="E63" s="228">
        <v>0.30472707748413086</v>
      </c>
      <c r="F63" s="228">
        <v>1.5400364995002747E-2</v>
      </c>
      <c r="G63" s="228">
        <v>7.169072050601244E-3</v>
      </c>
      <c r="H63" s="228">
        <v>7.062828540802002E-2</v>
      </c>
      <c r="I63" s="228">
        <v>3.6405362188816071E-2</v>
      </c>
      <c r="J63" s="227" t="s">
        <v>297</v>
      </c>
    </row>
    <row r="64" spans="1:10" x14ac:dyDescent="0.2">
      <c r="A64" s="227" t="s">
        <v>294</v>
      </c>
      <c r="B64" s="227" t="s">
        <v>314</v>
      </c>
      <c r="C64" s="227" t="s">
        <v>302</v>
      </c>
      <c r="D64" s="228">
        <v>2.4915812537074089E-3</v>
      </c>
      <c r="E64" s="228">
        <v>8.8925622403621674E-3</v>
      </c>
      <c r="F64" s="228">
        <v>0.24314230680465698</v>
      </c>
      <c r="G64" s="228">
        <v>0.34822332859039307</v>
      </c>
      <c r="H64" s="228">
        <v>0.16784913837909698</v>
      </c>
      <c r="I64" s="228">
        <v>0.2294011116027832</v>
      </c>
      <c r="J64" s="227" t="s">
        <v>297</v>
      </c>
    </row>
    <row r="65" spans="1:10" x14ac:dyDescent="0.2">
      <c r="A65" s="227" t="s">
        <v>294</v>
      </c>
      <c r="B65" s="227" t="s">
        <v>314</v>
      </c>
      <c r="C65" s="227" t="s">
        <v>303</v>
      </c>
      <c r="D65" s="228">
        <v>0.21817071735858917</v>
      </c>
      <c r="E65" s="228">
        <v>0.20077225565910339</v>
      </c>
      <c r="F65" s="228">
        <v>0.12469924241304398</v>
      </c>
      <c r="G65" s="228">
        <v>0.12167114019393921</v>
      </c>
      <c r="H65" s="228">
        <v>0.17752920091152191</v>
      </c>
      <c r="I65" s="228">
        <v>0.15715743601322174</v>
      </c>
      <c r="J65" s="227" t="s">
        <v>297</v>
      </c>
    </row>
    <row r="66" spans="1:10" x14ac:dyDescent="0.2">
      <c r="A66" s="227" t="s">
        <v>294</v>
      </c>
      <c r="B66" s="227" t="s">
        <v>314</v>
      </c>
      <c r="C66" s="227" t="s">
        <v>304</v>
      </c>
      <c r="D66" s="228">
        <v>0.32759526371955872</v>
      </c>
      <c r="E66" s="228">
        <v>9.1679483652114868E-2</v>
      </c>
      <c r="F66" s="228">
        <v>0.18607303500175476</v>
      </c>
      <c r="G66" s="228">
        <v>6.0043197125196457E-2</v>
      </c>
      <c r="H66" s="228">
        <v>0.25664424896240234</v>
      </c>
      <c r="I66" s="228">
        <v>7.7964767813682556E-2</v>
      </c>
      <c r="J66" s="227" t="s">
        <v>305</v>
      </c>
    </row>
    <row r="67" spans="1:10" x14ac:dyDescent="0.2">
      <c r="A67" s="227" t="s">
        <v>294</v>
      </c>
      <c r="B67" s="227" t="s">
        <v>314</v>
      </c>
      <c r="C67" s="227" t="s">
        <v>306</v>
      </c>
      <c r="D67" s="228">
        <v>0.24503268301486969</v>
      </c>
      <c r="E67" s="228">
        <v>0.21661666035652161</v>
      </c>
      <c r="F67" s="228">
        <v>0.10721897333860397</v>
      </c>
      <c r="G67" s="228">
        <v>0.13251906633377075</v>
      </c>
      <c r="H67" s="228">
        <v>0.14691397547721863</v>
      </c>
      <c r="I67" s="228">
        <v>0.15169866383075714</v>
      </c>
      <c r="J67" s="227" t="s">
        <v>297</v>
      </c>
    </row>
    <row r="68" spans="1:10" x14ac:dyDescent="0.2">
      <c r="A68" s="227" t="s">
        <v>294</v>
      </c>
      <c r="B68" s="227" t="s">
        <v>314</v>
      </c>
      <c r="C68" s="227" t="s">
        <v>308</v>
      </c>
      <c r="D68" s="228">
        <v>0.25817191600799561</v>
      </c>
      <c r="E68" s="228">
        <v>0.13960519433021545</v>
      </c>
      <c r="F68" s="228">
        <v>0.17407390475273132</v>
      </c>
      <c r="G68" s="228">
        <v>8.7160587310791016E-2</v>
      </c>
      <c r="H68" s="228">
        <v>0.23038169741630554</v>
      </c>
      <c r="I68" s="228">
        <v>0.11060672253370285</v>
      </c>
      <c r="J68" s="227" t="s">
        <v>297</v>
      </c>
    </row>
    <row r="69" spans="1:10" x14ac:dyDescent="0.2">
      <c r="A69" s="227" t="s">
        <v>294</v>
      </c>
      <c r="B69" s="227" t="s">
        <v>314</v>
      </c>
      <c r="C69" s="227" t="s">
        <v>309</v>
      </c>
      <c r="D69" s="228">
        <v>0.25413346290588379</v>
      </c>
      <c r="E69" s="228">
        <v>0.1808725893497467</v>
      </c>
      <c r="F69" s="228">
        <v>0.13010424375534058</v>
      </c>
      <c r="G69" s="228">
        <v>0.12609392404556274</v>
      </c>
      <c r="H69" s="228">
        <v>0.16920562088489532</v>
      </c>
      <c r="I69" s="228">
        <v>0.13959014415740967</v>
      </c>
      <c r="J69" s="227" t="s">
        <v>297</v>
      </c>
    </row>
    <row r="70" spans="1:10" x14ac:dyDescent="0.2">
      <c r="A70" s="227" t="s">
        <v>294</v>
      </c>
      <c r="B70" s="227" t="s">
        <v>315</v>
      </c>
      <c r="C70" s="227" t="s">
        <v>296</v>
      </c>
      <c r="D70" s="228">
        <v>0.49683794379234314</v>
      </c>
      <c r="E70" s="228">
        <v>0.26817512512207031</v>
      </c>
      <c r="F70" s="228">
        <v>4.6301223337650299E-2</v>
      </c>
      <c r="G70" s="228">
        <v>2.6124825701117516E-2</v>
      </c>
      <c r="H70" s="228">
        <v>0.10521362721920013</v>
      </c>
      <c r="I70" s="228">
        <v>5.734720453619957E-2</v>
      </c>
      <c r="J70" s="227" t="s">
        <v>297</v>
      </c>
    </row>
    <row r="71" spans="1:10" x14ac:dyDescent="0.2">
      <c r="A71" s="227" t="s">
        <v>294</v>
      </c>
      <c r="B71" s="227" t="s">
        <v>315</v>
      </c>
      <c r="C71" s="227" t="s">
        <v>298</v>
      </c>
      <c r="D71" s="228">
        <v>9.1482654213905334E-2</v>
      </c>
      <c r="E71" s="228">
        <v>0.26065570116043091</v>
      </c>
      <c r="F71" s="228">
        <v>8.7703950703144073E-2</v>
      </c>
      <c r="G71" s="228">
        <v>0.20832665264606476</v>
      </c>
      <c r="H71" s="228">
        <v>0.10200958698987961</v>
      </c>
      <c r="I71" s="228">
        <v>0.24982143938541412</v>
      </c>
      <c r="J71" s="227" t="s">
        <v>297</v>
      </c>
    </row>
    <row r="72" spans="1:10" x14ac:dyDescent="0.2">
      <c r="A72" s="227" t="s">
        <v>294</v>
      </c>
      <c r="B72" s="227" t="s">
        <v>315</v>
      </c>
      <c r="C72" s="227" t="s">
        <v>299</v>
      </c>
      <c r="D72" s="228">
        <v>0.24440446496009827</v>
      </c>
      <c r="E72" s="228">
        <v>0.18489417433738708</v>
      </c>
      <c r="F72" s="228">
        <v>0.13424587249755859</v>
      </c>
      <c r="G72" s="228">
        <v>0.10845986008644104</v>
      </c>
      <c r="H72" s="228">
        <v>0.1909041553735733</v>
      </c>
      <c r="I72" s="228">
        <v>0.13709142804145813</v>
      </c>
      <c r="J72" s="227" t="s">
        <v>297</v>
      </c>
    </row>
    <row r="73" spans="1:10" x14ac:dyDescent="0.2">
      <c r="A73" s="227" t="s">
        <v>294</v>
      </c>
      <c r="B73" s="227" t="s">
        <v>315</v>
      </c>
      <c r="C73" s="227" t="s">
        <v>300</v>
      </c>
      <c r="D73" s="228">
        <v>0.19700942933559418</v>
      </c>
      <c r="E73" s="228">
        <v>0.17808744311332703</v>
      </c>
      <c r="F73" s="228">
        <v>0.12797243893146515</v>
      </c>
      <c r="G73" s="228">
        <v>0.15026254951953888</v>
      </c>
      <c r="H73" s="228">
        <v>0.16984644532203674</v>
      </c>
      <c r="I73" s="228">
        <v>0.17682170867919922</v>
      </c>
      <c r="J73" s="227" t="s">
        <v>297</v>
      </c>
    </row>
    <row r="74" spans="1:10" x14ac:dyDescent="0.2">
      <c r="A74" s="227" t="s">
        <v>294</v>
      </c>
      <c r="B74" s="227" t="s">
        <v>315</v>
      </c>
      <c r="C74" s="227" t="s">
        <v>302</v>
      </c>
      <c r="D74" s="228">
        <v>6.8614212796092033E-3</v>
      </c>
      <c r="E74" s="228">
        <v>1.8378416076302528E-2</v>
      </c>
      <c r="F74" s="228">
        <v>0.25241377949714661</v>
      </c>
      <c r="G74" s="228">
        <v>0.30181354284286499</v>
      </c>
      <c r="H74" s="228">
        <v>0.19885140657424927</v>
      </c>
      <c r="I74" s="228">
        <v>0.22168141603469849</v>
      </c>
      <c r="J74" s="227" t="s">
        <v>297</v>
      </c>
    </row>
    <row r="75" spans="1:10" x14ac:dyDescent="0.2">
      <c r="A75" s="227" t="s">
        <v>294</v>
      </c>
      <c r="B75" s="227" t="s">
        <v>315</v>
      </c>
      <c r="C75" s="227" t="s">
        <v>303</v>
      </c>
      <c r="D75" s="228">
        <v>0.24719882011413574</v>
      </c>
      <c r="E75" s="228">
        <v>0.17204095423221588</v>
      </c>
      <c r="F75" s="228">
        <v>0.14493012428283691</v>
      </c>
      <c r="G75" s="228">
        <v>0.101429283618927</v>
      </c>
      <c r="H75" s="228">
        <v>0.20281630754470825</v>
      </c>
      <c r="I75" s="228">
        <v>0.1315845251083374</v>
      </c>
      <c r="J75" s="227" t="s">
        <v>297</v>
      </c>
    </row>
    <row r="76" spans="1:10" x14ac:dyDescent="0.2">
      <c r="A76" s="227" t="s">
        <v>294</v>
      </c>
      <c r="B76" s="227" t="s">
        <v>315</v>
      </c>
      <c r="C76" s="227" t="s">
        <v>304</v>
      </c>
      <c r="D76" s="228">
        <v>0.24980364739894867</v>
      </c>
      <c r="E76" s="228">
        <v>0.17284268140792847</v>
      </c>
      <c r="F76" s="228">
        <v>0.13923794031143188</v>
      </c>
      <c r="G76" s="228">
        <v>0.10444891452789307</v>
      </c>
      <c r="H76" s="228">
        <v>0.19389082491397858</v>
      </c>
      <c r="I76" s="228">
        <v>0.13977597653865814</v>
      </c>
      <c r="J76" s="227" t="s">
        <v>305</v>
      </c>
    </row>
    <row r="77" spans="1:10" x14ac:dyDescent="0.2">
      <c r="A77" s="227" t="s">
        <v>294</v>
      </c>
      <c r="B77" s="227" t="s">
        <v>315</v>
      </c>
      <c r="C77" s="227" t="s">
        <v>306</v>
      </c>
      <c r="D77" s="228">
        <v>8.4380820393562317E-2</v>
      </c>
      <c r="E77" s="228">
        <v>7.2572812438011169E-2</v>
      </c>
      <c r="F77" s="228">
        <v>0.16642342507839203</v>
      </c>
      <c r="G77" s="228">
        <v>0.28489476442337036</v>
      </c>
      <c r="H77" s="228">
        <v>0.15048593282699585</v>
      </c>
      <c r="I77" s="228">
        <v>0.24124224483966827</v>
      </c>
      <c r="J77" s="227" t="s">
        <v>297</v>
      </c>
    </row>
    <row r="78" spans="1:10" x14ac:dyDescent="0.2">
      <c r="A78" s="227" t="s">
        <v>294</v>
      </c>
      <c r="B78" s="227" t="s">
        <v>315</v>
      </c>
      <c r="C78" s="227" t="s">
        <v>307</v>
      </c>
      <c r="D78" s="228">
        <v>0.21954382956027985</v>
      </c>
      <c r="E78" s="228">
        <v>0.22890220582485199</v>
      </c>
      <c r="F78" s="228">
        <v>0.10630948841571808</v>
      </c>
      <c r="G78" s="228">
        <v>0.12606033682823181</v>
      </c>
      <c r="H78" s="228">
        <v>0.15425547957420349</v>
      </c>
      <c r="I78" s="228">
        <v>0.16492864489555359</v>
      </c>
      <c r="J78" s="227" t="s">
        <v>297</v>
      </c>
    </row>
    <row r="79" spans="1:10" x14ac:dyDescent="0.2">
      <c r="A79" s="227" t="s">
        <v>294</v>
      </c>
      <c r="B79" s="227" t="s">
        <v>315</v>
      </c>
      <c r="C79" s="227" t="s">
        <v>308</v>
      </c>
      <c r="D79" s="228">
        <v>0.24650952219963074</v>
      </c>
      <c r="E79" s="228">
        <v>0.13882429897785187</v>
      </c>
      <c r="F79" s="228">
        <v>0.171487957239151</v>
      </c>
      <c r="G79" s="228">
        <v>9.9285997450351715E-2</v>
      </c>
      <c r="H79" s="228">
        <v>0.22545623779296875</v>
      </c>
      <c r="I79" s="228">
        <v>0.11843598634004593</v>
      </c>
      <c r="J79" s="227" t="s">
        <v>297</v>
      </c>
    </row>
    <row r="80" spans="1:10" x14ac:dyDescent="0.2">
      <c r="A80" s="227" t="s">
        <v>294</v>
      </c>
      <c r="B80" s="227" t="s">
        <v>315</v>
      </c>
      <c r="C80" s="227" t="s">
        <v>309</v>
      </c>
      <c r="D80" s="228">
        <v>0.24260260164737701</v>
      </c>
      <c r="E80" s="228">
        <v>0.16997689008712769</v>
      </c>
      <c r="F80" s="228">
        <v>0.14203566312789917</v>
      </c>
      <c r="G80" s="228">
        <v>0.12276299297809601</v>
      </c>
      <c r="H80" s="228">
        <v>0.18402326107025146</v>
      </c>
      <c r="I80" s="228">
        <v>0.13859856128692627</v>
      </c>
      <c r="J80" s="227" t="s">
        <v>297</v>
      </c>
    </row>
    <row r="81" spans="1:10" x14ac:dyDescent="0.2">
      <c r="A81" s="227" t="s">
        <v>294</v>
      </c>
      <c r="B81" s="227" t="s">
        <v>316</v>
      </c>
      <c r="C81" s="227" t="s">
        <v>296</v>
      </c>
      <c r="D81" s="228">
        <v>0.56028980016708374</v>
      </c>
      <c r="E81" s="228">
        <v>0.30344411730766296</v>
      </c>
      <c r="F81" s="228">
        <v>1.7584452405571938E-2</v>
      </c>
      <c r="G81" s="228">
        <v>9.7019802778959274E-3</v>
      </c>
      <c r="H81" s="228">
        <v>6.9741681218147278E-2</v>
      </c>
      <c r="I81" s="228">
        <v>3.9237979799509048E-2</v>
      </c>
      <c r="J81" s="227" t="s">
        <v>297</v>
      </c>
    </row>
    <row r="82" spans="1:10" x14ac:dyDescent="0.2">
      <c r="A82" s="227" t="s">
        <v>294</v>
      </c>
      <c r="B82" s="227" t="s">
        <v>316</v>
      </c>
      <c r="C82" s="227" t="s">
        <v>298</v>
      </c>
      <c r="D82" s="228">
        <v>9.1668412089347839E-2</v>
      </c>
      <c r="E82" s="228">
        <v>0.26122796535491943</v>
      </c>
      <c r="F82" s="228">
        <v>8.698870986700058E-2</v>
      </c>
      <c r="G82" s="228">
        <v>0.20846752822399139</v>
      </c>
      <c r="H82" s="228">
        <v>0.10172735154628754</v>
      </c>
      <c r="I82" s="228">
        <v>0.24991999566555023</v>
      </c>
      <c r="J82" s="227" t="s">
        <v>297</v>
      </c>
    </row>
    <row r="83" spans="1:10" x14ac:dyDescent="0.2">
      <c r="A83" s="227" t="s">
        <v>294</v>
      </c>
      <c r="B83" s="227" t="s">
        <v>316</v>
      </c>
      <c r="C83" s="227" t="s">
        <v>299</v>
      </c>
      <c r="D83" s="228">
        <v>0.26631170511245728</v>
      </c>
      <c r="E83" s="228">
        <v>0.1876455545425415</v>
      </c>
      <c r="F83" s="228">
        <v>0.12679348886013031</v>
      </c>
      <c r="G83" s="228">
        <v>0.10735221207141876</v>
      </c>
      <c r="H83" s="228">
        <v>0.18039603531360626</v>
      </c>
      <c r="I83" s="228">
        <v>0.13150098919868469</v>
      </c>
      <c r="J83" s="227" t="s">
        <v>297</v>
      </c>
    </row>
    <row r="84" spans="1:10" x14ac:dyDescent="0.2">
      <c r="A84" s="227" t="s">
        <v>294</v>
      </c>
      <c r="B84" s="227" t="s">
        <v>316</v>
      </c>
      <c r="C84" s="227" t="s">
        <v>300</v>
      </c>
      <c r="D84" s="228">
        <v>0.22701971232891083</v>
      </c>
      <c r="E84" s="228">
        <v>0.18360836803913116</v>
      </c>
      <c r="F84" s="228">
        <v>0.12989646196365356</v>
      </c>
      <c r="G84" s="228">
        <v>0.12305857986211777</v>
      </c>
      <c r="H84" s="228">
        <v>0.18436957895755768</v>
      </c>
      <c r="I84" s="228">
        <v>0.1520472913980484</v>
      </c>
      <c r="J84" s="227" t="s">
        <v>297</v>
      </c>
    </row>
    <row r="85" spans="1:10" x14ac:dyDescent="0.2">
      <c r="A85" s="227" t="s">
        <v>294</v>
      </c>
      <c r="B85" s="227" t="s">
        <v>316</v>
      </c>
      <c r="C85" s="227" t="s">
        <v>301</v>
      </c>
      <c r="D85" s="228">
        <v>0.54460829496383667</v>
      </c>
      <c r="E85" s="228">
        <v>0.27719846367835999</v>
      </c>
      <c r="F85" s="228">
        <v>2.8722934424877167E-2</v>
      </c>
      <c r="G85" s="228">
        <v>1.4776390045881271E-2</v>
      </c>
      <c r="H85" s="228">
        <v>8.836326003074646E-2</v>
      </c>
      <c r="I85" s="228">
        <v>4.6330716460943222E-2</v>
      </c>
      <c r="J85" s="227" t="s">
        <v>297</v>
      </c>
    </row>
    <row r="86" spans="1:10" x14ac:dyDescent="0.2">
      <c r="A86" s="227" t="s">
        <v>294</v>
      </c>
      <c r="B86" s="227" t="s">
        <v>316</v>
      </c>
      <c r="C86" s="227" t="s">
        <v>302</v>
      </c>
      <c r="D86" s="228">
        <v>8.6623048409819603E-3</v>
      </c>
      <c r="E86" s="228">
        <v>1.6230503097176552E-2</v>
      </c>
      <c r="F86" s="228">
        <v>0.27635148167610168</v>
      </c>
      <c r="G86" s="228">
        <v>0.30844029784202576</v>
      </c>
      <c r="H86" s="228">
        <v>0.19450545310974121</v>
      </c>
      <c r="I86" s="228">
        <v>0.19580993056297302</v>
      </c>
      <c r="J86" s="227" t="s">
        <v>297</v>
      </c>
    </row>
    <row r="87" spans="1:10" x14ac:dyDescent="0.2">
      <c r="A87" s="227" t="s">
        <v>294</v>
      </c>
      <c r="B87" s="227" t="s">
        <v>316</v>
      </c>
      <c r="C87" s="227" t="s">
        <v>303</v>
      </c>
      <c r="D87" s="228">
        <v>0.22999681532382965</v>
      </c>
      <c r="E87" s="228">
        <v>0.18906894326210022</v>
      </c>
      <c r="F87" s="228">
        <v>0.13151000440120697</v>
      </c>
      <c r="G87" s="228">
        <v>0.11474855989217758</v>
      </c>
      <c r="H87" s="228">
        <v>0.18724629282951355</v>
      </c>
      <c r="I87" s="228">
        <v>0.14742937684059143</v>
      </c>
      <c r="J87" s="227" t="s">
        <v>297</v>
      </c>
    </row>
    <row r="88" spans="1:10" x14ac:dyDescent="0.2">
      <c r="A88" s="227" t="s">
        <v>294</v>
      </c>
      <c r="B88" s="227" t="s">
        <v>316</v>
      </c>
      <c r="C88" s="227" t="s">
        <v>304</v>
      </c>
      <c r="D88" s="228">
        <v>0.30633118748664856</v>
      </c>
      <c r="E88" s="228">
        <v>0.11265435069799423</v>
      </c>
      <c r="F88" s="228">
        <v>0.1740749329328537</v>
      </c>
      <c r="G88" s="228">
        <v>7.2957023978233337E-2</v>
      </c>
      <c r="H88" s="228">
        <v>0.24020130932331085</v>
      </c>
      <c r="I88" s="228">
        <v>9.3781203031539917E-2</v>
      </c>
      <c r="J88" s="227" t="s">
        <v>305</v>
      </c>
    </row>
    <row r="89" spans="1:10" x14ac:dyDescent="0.2">
      <c r="A89" s="227" t="s">
        <v>294</v>
      </c>
      <c r="B89" s="227" t="s">
        <v>316</v>
      </c>
      <c r="C89" s="227" t="s">
        <v>306</v>
      </c>
      <c r="D89" s="228">
        <v>4.3182827532291412E-2</v>
      </c>
      <c r="E89" s="228">
        <v>3.52582186460495E-2</v>
      </c>
      <c r="F89" s="228">
        <v>0.22560788691043854</v>
      </c>
      <c r="G89" s="228">
        <v>0.25350886583328247</v>
      </c>
      <c r="H89" s="228">
        <v>0.21021980047225952</v>
      </c>
      <c r="I89" s="228">
        <v>0.23222236335277557</v>
      </c>
      <c r="J89" s="227" t="s">
        <v>297</v>
      </c>
    </row>
    <row r="90" spans="1:10" x14ac:dyDescent="0.2">
      <c r="A90" s="227" t="s">
        <v>294</v>
      </c>
      <c r="B90" s="227" t="s">
        <v>316</v>
      </c>
      <c r="C90" s="227" t="s">
        <v>308</v>
      </c>
      <c r="D90" s="228">
        <v>0.24299123883247375</v>
      </c>
      <c r="E90" s="228">
        <v>0.14535465836524963</v>
      </c>
      <c r="F90" s="228">
        <v>0.1642625480890274</v>
      </c>
      <c r="G90" s="228">
        <v>0.10431793332099915</v>
      </c>
      <c r="H90" s="228">
        <v>0.21907903254032135</v>
      </c>
      <c r="I90" s="228">
        <v>0.12399459630250931</v>
      </c>
      <c r="J90" s="227" t="s">
        <v>297</v>
      </c>
    </row>
    <row r="91" spans="1:10" x14ac:dyDescent="0.2">
      <c r="A91" s="227" t="s">
        <v>294</v>
      </c>
      <c r="B91" s="227" t="s">
        <v>316</v>
      </c>
      <c r="C91" s="227" t="s">
        <v>309</v>
      </c>
      <c r="D91" s="228">
        <v>0.2642798125743866</v>
      </c>
      <c r="E91" s="228">
        <v>0.17498639225959778</v>
      </c>
      <c r="F91" s="228">
        <v>0.13734076917171478</v>
      </c>
      <c r="G91" s="228">
        <v>0.12256766110658646</v>
      </c>
      <c r="H91" s="228">
        <v>0.171717569231987</v>
      </c>
      <c r="I91" s="228">
        <v>0.12910781800746918</v>
      </c>
      <c r="J91" s="227" t="s">
        <v>297</v>
      </c>
    </row>
    <row r="92" spans="1:10" x14ac:dyDescent="0.2">
      <c r="A92" s="227" t="s">
        <v>294</v>
      </c>
      <c r="B92" s="227" t="s">
        <v>317</v>
      </c>
      <c r="C92" s="227" t="s">
        <v>296</v>
      </c>
      <c r="D92" s="228">
        <v>0.64102268218994141</v>
      </c>
      <c r="E92" s="228">
        <v>0.28480055928230286</v>
      </c>
      <c r="F92" s="228">
        <v>7.7787241898477077E-3</v>
      </c>
      <c r="G92" s="228">
        <v>9.06638044398278E-4</v>
      </c>
      <c r="H92" s="228">
        <v>5.0847694277763367E-2</v>
      </c>
      <c r="I92" s="228">
        <v>1.4643687754869461E-2</v>
      </c>
      <c r="J92" s="227" t="s">
        <v>297</v>
      </c>
    </row>
    <row r="93" spans="1:10" x14ac:dyDescent="0.2">
      <c r="A93" s="227" t="s">
        <v>294</v>
      </c>
      <c r="B93" s="227" t="s">
        <v>317</v>
      </c>
      <c r="C93" s="227" t="s">
        <v>298</v>
      </c>
      <c r="D93" s="228">
        <v>9.2562206089496613E-2</v>
      </c>
      <c r="E93" s="228">
        <v>0.25969883799552917</v>
      </c>
      <c r="F93" s="228">
        <v>8.7775856256484985E-2</v>
      </c>
      <c r="G93" s="228">
        <v>0.20818006992340088</v>
      </c>
      <c r="H93" s="228">
        <v>0.10268694907426834</v>
      </c>
      <c r="I93" s="228">
        <v>0.24909614026546478</v>
      </c>
      <c r="J93" s="227" t="s">
        <v>297</v>
      </c>
    </row>
    <row r="94" spans="1:10" x14ac:dyDescent="0.2">
      <c r="A94" s="227" t="s">
        <v>294</v>
      </c>
      <c r="B94" s="227" t="s">
        <v>317</v>
      </c>
      <c r="C94" s="227" t="s">
        <v>299</v>
      </c>
      <c r="D94" s="228">
        <v>0.27267026901245117</v>
      </c>
      <c r="E94" s="228">
        <v>0.19815927743911743</v>
      </c>
      <c r="F94" s="228">
        <v>0.12213466316461563</v>
      </c>
      <c r="G94" s="228">
        <v>0.1207105740904808</v>
      </c>
      <c r="H94" s="228">
        <v>0.16056486964225769</v>
      </c>
      <c r="I94" s="228">
        <v>0.12576037645339966</v>
      </c>
      <c r="J94" s="227" t="s">
        <v>297</v>
      </c>
    </row>
    <row r="95" spans="1:10" x14ac:dyDescent="0.2">
      <c r="A95" s="227" t="s">
        <v>294</v>
      </c>
      <c r="B95" s="227" t="s">
        <v>317</v>
      </c>
      <c r="C95" s="227" t="s">
        <v>300</v>
      </c>
      <c r="D95" s="228">
        <v>0.23743671178817749</v>
      </c>
      <c r="E95" s="228">
        <v>0.15711557865142822</v>
      </c>
      <c r="F95" s="228">
        <v>0.1402093768119812</v>
      </c>
      <c r="G95" s="228">
        <v>0.13652911782264709</v>
      </c>
      <c r="H95" s="228">
        <v>0.1784559041261673</v>
      </c>
      <c r="I95" s="228">
        <v>0.15025332570075989</v>
      </c>
      <c r="J95" s="227" t="s">
        <v>297</v>
      </c>
    </row>
    <row r="96" spans="1:10" x14ac:dyDescent="0.2">
      <c r="A96" s="227" t="s">
        <v>294</v>
      </c>
      <c r="B96" s="227" t="s">
        <v>317</v>
      </c>
      <c r="C96" s="227" t="s">
        <v>301</v>
      </c>
      <c r="D96" s="228">
        <v>0.6445842981338501</v>
      </c>
      <c r="E96" s="228">
        <v>0.30004426836967468</v>
      </c>
      <c r="F96" s="228">
        <v>2.7258275076746941E-3</v>
      </c>
      <c r="G96" s="228">
        <v>5.5858949053799734E-5</v>
      </c>
      <c r="H96" s="228">
        <v>3.6873761564493179E-2</v>
      </c>
      <c r="I96" s="228">
        <v>1.5716018155217171E-2</v>
      </c>
      <c r="J96" s="227" t="s">
        <v>297</v>
      </c>
    </row>
    <row r="97" spans="1:10" x14ac:dyDescent="0.2">
      <c r="A97" s="227" t="s">
        <v>294</v>
      </c>
      <c r="B97" s="227" t="s">
        <v>317</v>
      </c>
      <c r="C97" s="227" t="s">
        <v>302</v>
      </c>
      <c r="D97" s="228">
        <v>1.075505861081183E-4</v>
      </c>
      <c r="E97" s="228">
        <v>7.8575854422524571E-4</v>
      </c>
      <c r="F97" s="228">
        <v>0.2218644917011261</v>
      </c>
      <c r="G97" s="228">
        <v>0.48619776964187622</v>
      </c>
      <c r="H97" s="228">
        <v>9.7034424543380737E-2</v>
      </c>
      <c r="I97" s="228">
        <v>0.19401004910469055</v>
      </c>
      <c r="J97" s="227" t="s">
        <v>297</v>
      </c>
    </row>
    <row r="98" spans="1:10" x14ac:dyDescent="0.2">
      <c r="A98" s="227" t="s">
        <v>294</v>
      </c>
      <c r="B98" s="227" t="s">
        <v>317</v>
      </c>
      <c r="C98" s="227" t="s">
        <v>303</v>
      </c>
      <c r="D98" s="228">
        <v>0.28197500109672546</v>
      </c>
      <c r="E98" s="228">
        <v>0.13645064830780029</v>
      </c>
      <c r="F98" s="228">
        <v>0.16320890188217163</v>
      </c>
      <c r="G98" s="228">
        <v>8.2705728709697723E-2</v>
      </c>
      <c r="H98" s="228">
        <v>0.23033234477043152</v>
      </c>
      <c r="I98" s="228">
        <v>0.10532739013433456</v>
      </c>
      <c r="J98" s="227" t="s">
        <v>297</v>
      </c>
    </row>
    <row r="99" spans="1:10" x14ac:dyDescent="0.2">
      <c r="A99" s="227" t="s">
        <v>294</v>
      </c>
      <c r="B99" s="227" t="s">
        <v>317</v>
      </c>
      <c r="C99" s="227" t="s">
        <v>304</v>
      </c>
      <c r="D99" s="228">
        <v>0.30045565962791443</v>
      </c>
      <c r="E99" s="228">
        <v>0.12050007283687592</v>
      </c>
      <c r="F99" s="228">
        <v>0.1682293713092804</v>
      </c>
      <c r="G99" s="228">
        <v>7.4453867971897125E-2</v>
      </c>
      <c r="H99" s="228">
        <v>0.23522107303142548</v>
      </c>
      <c r="I99" s="228">
        <v>0.10113993287086487</v>
      </c>
      <c r="J99" s="227" t="s">
        <v>305</v>
      </c>
    </row>
    <row r="100" spans="1:10" x14ac:dyDescent="0.2">
      <c r="A100" s="227" t="s">
        <v>294</v>
      </c>
      <c r="B100" s="227" t="s">
        <v>317</v>
      </c>
      <c r="C100" s="227" t="s">
        <v>306</v>
      </c>
      <c r="D100" s="228">
        <v>2.4680200964212418E-2</v>
      </c>
      <c r="E100" s="228">
        <v>2.2178212180733681E-2</v>
      </c>
      <c r="F100" s="228">
        <v>0.21208967268466949</v>
      </c>
      <c r="G100" s="228">
        <v>0.35978007316589355</v>
      </c>
      <c r="H100" s="228">
        <v>0.14820119738578796</v>
      </c>
      <c r="I100" s="228">
        <v>0.23307062685489655</v>
      </c>
      <c r="J100" s="227" t="s">
        <v>297</v>
      </c>
    </row>
    <row r="101" spans="1:10" x14ac:dyDescent="0.2">
      <c r="A101" s="227" t="s">
        <v>294</v>
      </c>
      <c r="B101" s="227" t="s">
        <v>317</v>
      </c>
      <c r="C101" s="227" t="s">
        <v>309</v>
      </c>
      <c r="D101" s="228">
        <v>0.26215717196464539</v>
      </c>
      <c r="E101" s="228">
        <v>0.13977468013763428</v>
      </c>
      <c r="F101" s="228">
        <v>0.15538199245929718</v>
      </c>
      <c r="G101" s="228">
        <v>0.12696704268455505</v>
      </c>
      <c r="H101" s="228">
        <v>0.19740146398544312</v>
      </c>
      <c r="I101" s="228">
        <v>0.11831768602132797</v>
      </c>
      <c r="J101" s="227" t="s">
        <v>297</v>
      </c>
    </row>
    <row r="102" spans="1:10" x14ac:dyDescent="0.2">
      <c r="A102" s="227" t="s">
        <v>318</v>
      </c>
      <c r="B102" s="227" t="s">
        <v>295</v>
      </c>
      <c r="C102" s="227" t="s">
        <v>319</v>
      </c>
      <c r="D102" s="228">
        <v>0.19268621504306793</v>
      </c>
      <c r="E102" s="228">
        <v>0.19437471032142639</v>
      </c>
      <c r="F102" s="228">
        <v>0.14082352817058563</v>
      </c>
      <c r="G102" s="228">
        <v>0.14225012063980103</v>
      </c>
      <c r="H102" s="228">
        <v>0.16849233210086823</v>
      </c>
      <c r="I102" s="228">
        <v>0.1613730788230896</v>
      </c>
      <c r="J102" s="227" t="s">
        <v>320</v>
      </c>
    </row>
    <row r="103" spans="1:10" x14ac:dyDescent="0.2">
      <c r="A103" s="227" t="s">
        <v>318</v>
      </c>
      <c r="B103" s="227" t="s">
        <v>295</v>
      </c>
      <c r="C103" s="227" t="s">
        <v>321</v>
      </c>
      <c r="D103" s="228">
        <v>0.23893211781978607</v>
      </c>
      <c r="E103" s="228">
        <v>0.15632498264312744</v>
      </c>
      <c r="F103" s="228">
        <v>0.15596334636211395</v>
      </c>
      <c r="G103" s="228">
        <v>0.1125786155462265</v>
      </c>
      <c r="H103" s="228">
        <v>0.20681092143058777</v>
      </c>
      <c r="I103" s="228">
        <v>0.12939006090164185</v>
      </c>
      <c r="J103" s="227" t="s">
        <v>320</v>
      </c>
    </row>
    <row r="104" spans="1:10" x14ac:dyDescent="0.2">
      <c r="A104" s="227" t="s">
        <v>318</v>
      </c>
      <c r="B104" s="227" t="s">
        <v>295</v>
      </c>
      <c r="C104" s="227" t="s">
        <v>322</v>
      </c>
      <c r="D104" s="228">
        <v>0.25261887907981873</v>
      </c>
      <c r="E104" s="228">
        <v>0.17615100741386414</v>
      </c>
      <c r="F104" s="228">
        <v>0.14377807080745697</v>
      </c>
      <c r="G104" s="228">
        <v>0.10010335594415665</v>
      </c>
      <c r="H104" s="228">
        <v>0.19843797385692596</v>
      </c>
      <c r="I104" s="228">
        <v>0.12891072034835815</v>
      </c>
      <c r="J104" s="227" t="s">
        <v>320</v>
      </c>
    </row>
    <row r="105" spans="1:10" x14ac:dyDescent="0.2">
      <c r="A105" s="227" t="s">
        <v>318</v>
      </c>
      <c r="B105" s="227" t="s">
        <v>295</v>
      </c>
      <c r="C105" s="227" t="s">
        <v>296</v>
      </c>
      <c r="D105" s="228">
        <v>0.48819816112518311</v>
      </c>
      <c r="E105" s="228">
        <v>0.37322548031806946</v>
      </c>
      <c r="F105" s="228">
        <v>2.0085159689188004E-2</v>
      </c>
      <c r="G105" s="228">
        <v>2.5461643934249878E-2</v>
      </c>
      <c r="H105" s="228">
        <v>5.0600569695234299E-2</v>
      </c>
      <c r="I105" s="228">
        <v>4.2429011315107346E-2</v>
      </c>
      <c r="J105" s="227" t="s">
        <v>320</v>
      </c>
    </row>
    <row r="106" spans="1:10" x14ac:dyDescent="0.2">
      <c r="A106" s="227" t="s">
        <v>318</v>
      </c>
      <c r="B106" s="227" t="s">
        <v>295</v>
      </c>
      <c r="C106" s="227" t="s">
        <v>323</v>
      </c>
      <c r="D106" s="228">
        <v>0.5221678614616394</v>
      </c>
      <c r="E106" s="228">
        <v>0.40422090888023376</v>
      </c>
      <c r="F106" s="228">
        <v>1.115653314627707E-3</v>
      </c>
      <c r="G106" s="228">
        <v>1.0491505963727832E-3</v>
      </c>
      <c r="H106" s="228">
        <v>4.5162834227085114E-2</v>
      </c>
      <c r="I106" s="228">
        <v>2.628360316157341E-2</v>
      </c>
      <c r="J106" s="227" t="s">
        <v>320</v>
      </c>
    </row>
    <row r="107" spans="1:10" x14ac:dyDescent="0.2">
      <c r="A107" s="227" t="s">
        <v>318</v>
      </c>
      <c r="B107" s="227" t="s">
        <v>295</v>
      </c>
      <c r="C107" s="227" t="s">
        <v>324</v>
      </c>
      <c r="D107" s="228">
        <v>0.25951579213142395</v>
      </c>
      <c r="E107" s="228">
        <v>0.13564890623092651</v>
      </c>
      <c r="F107" s="228">
        <v>0.16977447271347046</v>
      </c>
      <c r="G107" s="228">
        <v>9.6274912357330322E-2</v>
      </c>
      <c r="H107" s="228">
        <v>0.22656483948230743</v>
      </c>
      <c r="I107" s="228">
        <v>0.11222108453512192</v>
      </c>
      <c r="J107" s="227" t="s">
        <v>320</v>
      </c>
    </row>
    <row r="108" spans="1:10" x14ac:dyDescent="0.2">
      <c r="A108" s="227" t="s">
        <v>318</v>
      </c>
      <c r="B108" s="227" t="s">
        <v>295</v>
      </c>
      <c r="C108" s="227" t="s">
        <v>325</v>
      </c>
      <c r="D108" s="228">
        <v>0.22302109003067017</v>
      </c>
      <c r="E108" s="228">
        <v>0.23946161568164825</v>
      </c>
      <c r="F108" s="228">
        <v>9.4097256660461426E-2</v>
      </c>
      <c r="G108" s="228">
        <v>0.11018857359886169</v>
      </c>
      <c r="H108" s="228">
        <v>0.16303643584251404</v>
      </c>
      <c r="I108" s="228">
        <v>0.17019505798816681</v>
      </c>
      <c r="J108" s="227" t="s">
        <v>320</v>
      </c>
    </row>
    <row r="109" spans="1:10" x14ac:dyDescent="0.2">
      <c r="A109" s="227" t="s">
        <v>318</v>
      </c>
      <c r="B109" s="227" t="s">
        <v>295</v>
      </c>
      <c r="C109" s="227" t="s">
        <v>302</v>
      </c>
      <c r="D109" s="228">
        <v>7.3912139050662518E-3</v>
      </c>
      <c r="E109" s="228">
        <v>1.7735855653882027E-2</v>
      </c>
      <c r="F109" s="228">
        <v>0.28295880556106567</v>
      </c>
      <c r="G109" s="228">
        <v>0.37276548147201538</v>
      </c>
      <c r="H109" s="228">
        <v>0.12737369537353516</v>
      </c>
      <c r="I109" s="228">
        <v>0.19177493453025818</v>
      </c>
      <c r="J109" s="227" t="s">
        <v>320</v>
      </c>
    </row>
    <row r="110" spans="1:10" x14ac:dyDescent="0.2">
      <c r="A110" s="227" t="s">
        <v>318</v>
      </c>
      <c r="B110" s="227" t="s">
        <v>295</v>
      </c>
      <c r="C110" s="227" t="s">
        <v>326</v>
      </c>
      <c r="D110" s="228">
        <v>7.7889272943139076E-3</v>
      </c>
      <c r="E110" s="228">
        <v>1.8522733822464943E-2</v>
      </c>
      <c r="F110" s="228">
        <v>0.28212982416152954</v>
      </c>
      <c r="G110" s="228">
        <v>0.37458789348602295</v>
      </c>
      <c r="H110" s="228">
        <v>0.12676061689853668</v>
      </c>
      <c r="I110" s="228">
        <v>0.1902100145816803</v>
      </c>
      <c r="J110" s="227" t="s">
        <v>320</v>
      </c>
    </row>
    <row r="111" spans="1:10" x14ac:dyDescent="0.2">
      <c r="A111" s="227" t="s">
        <v>318</v>
      </c>
      <c r="B111" s="227" t="s">
        <v>295</v>
      </c>
      <c r="C111" s="227" t="s">
        <v>327</v>
      </c>
      <c r="D111" s="228">
        <v>2.7406742447055876E-4</v>
      </c>
      <c r="E111" s="228">
        <v>1.6171693569049239E-3</v>
      </c>
      <c r="F111" s="228">
        <v>0.3401343822479248</v>
      </c>
      <c r="G111" s="228">
        <v>0.50320911407470703</v>
      </c>
      <c r="H111" s="228">
        <v>5.6004419922828674E-2</v>
      </c>
      <c r="I111" s="228">
        <v>9.8760858178138733E-2</v>
      </c>
      <c r="J111" s="227" t="s">
        <v>320</v>
      </c>
    </row>
    <row r="112" spans="1:10" x14ac:dyDescent="0.2">
      <c r="A112" s="227" t="s">
        <v>318</v>
      </c>
      <c r="B112" s="227" t="s">
        <v>295</v>
      </c>
      <c r="C112" s="227" t="s">
        <v>328</v>
      </c>
      <c r="D112" s="228">
        <v>0.22190576791763306</v>
      </c>
      <c r="E112" s="228">
        <v>0.23581519722938538</v>
      </c>
      <c r="F112" s="228">
        <v>9.7270987927913666E-2</v>
      </c>
      <c r="G112" s="228">
        <v>0.10881822556257248</v>
      </c>
      <c r="H112" s="228">
        <v>0.16631951928138733</v>
      </c>
      <c r="I112" s="228">
        <v>0.16987031698226929</v>
      </c>
      <c r="J112" s="227" t="s">
        <v>320</v>
      </c>
    </row>
    <row r="113" spans="1:10" x14ac:dyDescent="0.2">
      <c r="A113" s="227" t="s">
        <v>318</v>
      </c>
      <c r="B113" s="227" t="s">
        <v>295</v>
      </c>
      <c r="C113" s="227" t="s">
        <v>329</v>
      </c>
      <c r="D113" s="228">
        <v>0.22545835375785828</v>
      </c>
      <c r="E113" s="228">
        <v>0.24020116031169891</v>
      </c>
      <c r="F113" s="228">
        <v>0.1074296310544014</v>
      </c>
      <c r="G113" s="228">
        <v>0.12019973248243332</v>
      </c>
      <c r="H113" s="228">
        <v>0.15178462862968445</v>
      </c>
      <c r="I113" s="228">
        <v>0.15492644906044006</v>
      </c>
      <c r="J113" s="227" t="s">
        <v>320</v>
      </c>
    </row>
    <row r="114" spans="1:10" x14ac:dyDescent="0.2">
      <c r="A114" s="227" t="s">
        <v>318</v>
      </c>
      <c r="B114" s="227" t="s">
        <v>295</v>
      </c>
      <c r="C114" s="227" t="s">
        <v>304</v>
      </c>
      <c r="D114" s="228">
        <v>0.20780856907367706</v>
      </c>
      <c r="E114" s="228">
        <v>0.16212116181850433</v>
      </c>
      <c r="F114" s="228">
        <v>0.15509270131587982</v>
      </c>
      <c r="G114" s="228">
        <v>0.12717722356319427</v>
      </c>
      <c r="H114" s="228">
        <v>0.19153608381748199</v>
      </c>
      <c r="I114" s="228">
        <v>0.15626424551010132</v>
      </c>
      <c r="J114" s="227" t="s">
        <v>305</v>
      </c>
    </row>
    <row r="115" spans="1:10" x14ac:dyDescent="0.2">
      <c r="A115" s="227" t="s">
        <v>318</v>
      </c>
      <c r="B115" s="227" t="s">
        <v>295</v>
      </c>
      <c r="C115" s="227" t="s">
        <v>330</v>
      </c>
      <c r="D115" s="228">
        <v>0.17174865305423737</v>
      </c>
      <c r="E115" s="228">
        <v>0.18944332003593445</v>
      </c>
      <c r="F115" s="228">
        <v>0.1394607275724411</v>
      </c>
      <c r="G115" s="228">
        <v>0.16624137759208679</v>
      </c>
      <c r="H115" s="228">
        <v>0.16064056754112244</v>
      </c>
      <c r="I115" s="228">
        <v>0.17246535420417786</v>
      </c>
      <c r="J115" s="227" t="s">
        <v>320</v>
      </c>
    </row>
    <row r="116" spans="1:10" x14ac:dyDescent="0.2">
      <c r="A116" s="227" t="s">
        <v>318</v>
      </c>
      <c r="B116" s="227" t="s">
        <v>295</v>
      </c>
      <c r="C116" s="227" t="s">
        <v>331</v>
      </c>
      <c r="D116" s="228">
        <v>0.1664118766784668</v>
      </c>
      <c r="E116" s="228">
        <v>0.18237671256065369</v>
      </c>
      <c r="F116" s="228">
        <v>0.14056144654750824</v>
      </c>
      <c r="G116" s="228">
        <v>0.17593495547771454</v>
      </c>
      <c r="H116" s="228">
        <v>0.1627020388841629</v>
      </c>
      <c r="I116" s="228">
        <v>0.17201302945613861</v>
      </c>
      <c r="J116" s="227" t="s">
        <v>320</v>
      </c>
    </row>
    <row r="117" spans="1:10" x14ac:dyDescent="0.2">
      <c r="A117" s="227" t="s">
        <v>318</v>
      </c>
      <c r="B117" s="227" t="s">
        <v>295</v>
      </c>
      <c r="C117" s="227" t="s">
        <v>332</v>
      </c>
      <c r="D117" s="228">
        <v>0.21354153752326965</v>
      </c>
      <c r="E117" s="228">
        <v>0.20563656091690063</v>
      </c>
      <c r="F117" s="228">
        <v>0.12266047298908234</v>
      </c>
      <c r="G117" s="228">
        <v>0.12391486018896103</v>
      </c>
      <c r="H117" s="228">
        <v>0.17399562895298004</v>
      </c>
      <c r="I117" s="228">
        <v>0.16025093197822571</v>
      </c>
      <c r="J117" s="227" t="s">
        <v>320</v>
      </c>
    </row>
    <row r="118" spans="1:10" x14ac:dyDescent="0.2">
      <c r="A118" s="227" t="s">
        <v>318</v>
      </c>
      <c r="B118" s="227" t="s">
        <v>295</v>
      </c>
      <c r="C118" s="227" t="s">
        <v>333</v>
      </c>
      <c r="D118" s="228">
        <v>0.18620942533016205</v>
      </c>
      <c r="E118" s="228">
        <v>0.16537974774837494</v>
      </c>
      <c r="F118" s="228">
        <v>0.16480062901973724</v>
      </c>
      <c r="G118" s="228">
        <v>0.1858772486448288</v>
      </c>
      <c r="H118" s="228">
        <v>0.1481027752161026</v>
      </c>
      <c r="I118" s="228">
        <v>0.14963018894195557</v>
      </c>
      <c r="J118" s="227" t="s">
        <v>320</v>
      </c>
    </row>
    <row r="119" spans="1:10" x14ac:dyDescent="0.2">
      <c r="A119" s="227" t="s">
        <v>318</v>
      </c>
      <c r="B119" s="227" t="s">
        <v>295</v>
      </c>
      <c r="C119" s="227" t="s">
        <v>334</v>
      </c>
      <c r="D119" s="228">
        <v>0.18753907084465027</v>
      </c>
      <c r="E119" s="228">
        <v>0.20399096608161926</v>
      </c>
      <c r="F119" s="228">
        <v>0.13300144672393799</v>
      </c>
      <c r="G119" s="228">
        <v>0.1426897794008255</v>
      </c>
      <c r="H119" s="228">
        <v>0.16481795907020569</v>
      </c>
      <c r="I119" s="228">
        <v>0.16796077787876129</v>
      </c>
      <c r="J119" s="227" t="s">
        <v>320</v>
      </c>
    </row>
    <row r="120" spans="1:10" x14ac:dyDescent="0.2">
      <c r="A120" s="227" t="s">
        <v>318</v>
      </c>
      <c r="B120" s="227" t="s">
        <v>295</v>
      </c>
      <c r="C120" s="227" t="s">
        <v>335</v>
      </c>
      <c r="D120" s="228">
        <v>0.23949667811393738</v>
      </c>
      <c r="E120" s="228">
        <v>0.14266851544380188</v>
      </c>
      <c r="F120" s="228">
        <v>0.17892836034297943</v>
      </c>
      <c r="G120" s="228">
        <v>0.10629703104496002</v>
      </c>
      <c r="H120" s="228">
        <v>0.21436740458011627</v>
      </c>
      <c r="I120" s="228">
        <v>0.11824200302362442</v>
      </c>
      <c r="J120" s="227" t="s">
        <v>320</v>
      </c>
    </row>
    <row r="121" spans="1:10" x14ac:dyDescent="0.2">
      <c r="A121" s="227" t="s">
        <v>318</v>
      </c>
      <c r="B121" s="227" t="s">
        <v>295</v>
      </c>
      <c r="C121" s="227" t="s">
        <v>336</v>
      </c>
      <c r="D121" s="228">
        <v>0.23968818783760071</v>
      </c>
      <c r="E121" s="228">
        <v>0.14268699288368225</v>
      </c>
      <c r="F121" s="228">
        <v>0.17887993156909943</v>
      </c>
      <c r="G121" s="228">
        <v>0.10634481906890869</v>
      </c>
      <c r="H121" s="228">
        <v>0.21432672441005707</v>
      </c>
      <c r="I121" s="228">
        <v>0.11807332932949066</v>
      </c>
      <c r="J121" s="227" t="s">
        <v>320</v>
      </c>
    </row>
    <row r="122" spans="1:10" x14ac:dyDescent="0.2">
      <c r="A122" s="227" t="s">
        <v>318</v>
      </c>
      <c r="B122" s="227" t="s">
        <v>295</v>
      </c>
      <c r="C122" s="227" t="s">
        <v>337</v>
      </c>
      <c r="D122" s="228">
        <v>0.34827655553817749</v>
      </c>
      <c r="E122" s="228">
        <v>0.16316825151443481</v>
      </c>
      <c r="F122" s="228">
        <v>0.11226741224527359</v>
      </c>
      <c r="G122" s="228">
        <v>5.5537309497594833E-2</v>
      </c>
      <c r="H122" s="228">
        <v>0.22364512085914612</v>
      </c>
      <c r="I122" s="228">
        <v>9.7105391323566437E-2</v>
      </c>
      <c r="J122" s="227" t="s">
        <v>320</v>
      </c>
    </row>
    <row r="123" spans="1:10" x14ac:dyDescent="0.2">
      <c r="A123" s="227" t="s">
        <v>318</v>
      </c>
      <c r="B123" s="227" t="s">
        <v>295</v>
      </c>
      <c r="C123" s="227" t="s">
        <v>338</v>
      </c>
      <c r="D123" s="228">
        <v>0.22712178528308868</v>
      </c>
      <c r="E123" s="228">
        <v>0.17343078553676605</v>
      </c>
      <c r="F123" s="228">
        <v>0.15483303368091583</v>
      </c>
      <c r="G123" s="228">
        <v>0.10723303258419037</v>
      </c>
      <c r="H123" s="228">
        <v>0.1999298483133316</v>
      </c>
      <c r="I123" s="228">
        <v>0.13745149970054626</v>
      </c>
      <c r="J123" s="227" t="s">
        <v>320</v>
      </c>
    </row>
    <row r="124" spans="1:10" x14ac:dyDescent="0.2">
      <c r="A124" s="227" t="s">
        <v>318</v>
      </c>
      <c r="B124" s="227" t="s">
        <v>295</v>
      </c>
      <c r="C124" s="227" t="s">
        <v>339</v>
      </c>
      <c r="D124" s="228">
        <v>0.22085043787956238</v>
      </c>
      <c r="E124" s="228">
        <v>0.23742011189460754</v>
      </c>
      <c r="F124" s="228">
        <v>9.4983197748661041E-2</v>
      </c>
      <c r="G124" s="228">
        <v>0.11030183732509613</v>
      </c>
      <c r="H124" s="228">
        <v>0.16474050283432007</v>
      </c>
      <c r="I124" s="228">
        <v>0.17170393466949463</v>
      </c>
      <c r="J124" s="227" t="s">
        <v>320</v>
      </c>
    </row>
    <row r="125" spans="1:10" x14ac:dyDescent="0.2">
      <c r="A125" s="227" t="s">
        <v>318</v>
      </c>
      <c r="B125" s="227" t="s">
        <v>295</v>
      </c>
      <c r="C125" s="227" t="s">
        <v>308</v>
      </c>
      <c r="D125" s="228">
        <v>0.19778607785701752</v>
      </c>
      <c r="E125" s="228">
        <v>0.16111521422863007</v>
      </c>
      <c r="F125" s="228">
        <v>0.15535642206668854</v>
      </c>
      <c r="G125" s="228">
        <v>0.1346973329782486</v>
      </c>
      <c r="H125" s="228">
        <v>0.19763228297233582</v>
      </c>
      <c r="I125" s="228">
        <v>0.15341265499591827</v>
      </c>
      <c r="J125" s="227" t="s">
        <v>320</v>
      </c>
    </row>
    <row r="126" spans="1:10" x14ac:dyDescent="0.2">
      <c r="A126" s="227" t="s">
        <v>318</v>
      </c>
      <c r="B126" s="227" t="s">
        <v>295</v>
      </c>
      <c r="C126" s="227" t="s">
        <v>340</v>
      </c>
      <c r="D126" s="228">
        <v>0.21156327426433563</v>
      </c>
      <c r="E126" s="228">
        <v>0.17052151262760162</v>
      </c>
      <c r="F126" s="228">
        <v>0.14517973363399506</v>
      </c>
      <c r="G126" s="228">
        <v>0.14018222689628601</v>
      </c>
      <c r="H126" s="228">
        <v>0.18485075235366821</v>
      </c>
      <c r="I126" s="228">
        <v>0.14770251512527466</v>
      </c>
      <c r="J126" s="227" t="s">
        <v>320</v>
      </c>
    </row>
    <row r="127" spans="1:10" x14ac:dyDescent="0.2">
      <c r="A127" s="227" t="s">
        <v>318</v>
      </c>
      <c r="B127" s="227" t="s">
        <v>295</v>
      </c>
      <c r="C127" s="227" t="s">
        <v>341</v>
      </c>
      <c r="D127" s="228">
        <v>0.18634231388568878</v>
      </c>
      <c r="E127" s="228">
        <v>0.1653808057308197</v>
      </c>
      <c r="F127" s="228">
        <v>0.16475468873977661</v>
      </c>
      <c r="G127" s="228">
        <v>0.18577021360397339</v>
      </c>
      <c r="H127" s="228">
        <v>0.14816403388977051</v>
      </c>
      <c r="I127" s="228">
        <v>0.1495879739522934</v>
      </c>
      <c r="J127" s="227" t="s">
        <v>320</v>
      </c>
    </row>
    <row r="128" spans="1:10" x14ac:dyDescent="0.2">
      <c r="A128" s="227" t="s">
        <v>318</v>
      </c>
      <c r="B128" s="227" t="s">
        <v>342</v>
      </c>
      <c r="C128" s="227" t="s">
        <v>319</v>
      </c>
      <c r="D128" s="228">
        <v>0.19284996390342712</v>
      </c>
      <c r="E128" s="228">
        <v>0.19432680308818817</v>
      </c>
      <c r="F128" s="228">
        <v>0.14113110303878784</v>
      </c>
      <c r="G128" s="228">
        <v>0.14201031625270844</v>
      </c>
      <c r="H128" s="228">
        <v>0.16850513219833374</v>
      </c>
      <c r="I128" s="228">
        <v>0.16117671132087708</v>
      </c>
      <c r="J128" s="227" t="s">
        <v>320</v>
      </c>
    </row>
    <row r="129" spans="1:10" x14ac:dyDescent="0.2">
      <c r="A129" s="227" t="s">
        <v>318</v>
      </c>
      <c r="B129" s="227" t="s">
        <v>342</v>
      </c>
      <c r="C129" s="227" t="s">
        <v>321</v>
      </c>
      <c r="D129" s="228">
        <v>0.24003311991691589</v>
      </c>
      <c r="E129" s="228">
        <v>0.15737387537956238</v>
      </c>
      <c r="F129" s="228">
        <v>0.15351498126983643</v>
      </c>
      <c r="G129" s="228">
        <v>0.11210876703262329</v>
      </c>
      <c r="H129" s="228">
        <v>0.20709554851055145</v>
      </c>
      <c r="I129" s="228">
        <v>0.12987372279167175</v>
      </c>
      <c r="J129" s="227" t="s">
        <v>320</v>
      </c>
    </row>
    <row r="130" spans="1:10" x14ac:dyDescent="0.2">
      <c r="A130" s="227" t="s">
        <v>318</v>
      </c>
      <c r="B130" s="227" t="s">
        <v>342</v>
      </c>
      <c r="C130" s="227" t="s">
        <v>322</v>
      </c>
      <c r="D130" s="228">
        <v>0.25107589364051819</v>
      </c>
      <c r="E130" s="228">
        <v>0.17756354808807373</v>
      </c>
      <c r="F130" s="228">
        <v>0.14200317859649658</v>
      </c>
      <c r="G130" s="228">
        <v>0.10038166493177414</v>
      </c>
      <c r="H130" s="228">
        <v>0.19870112836360931</v>
      </c>
      <c r="I130" s="228">
        <v>0.13027456402778625</v>
      </c>
      <c r="J130" s="227" t="s">
        <v>320</v>
      </c>
    </row>
    <row r="131" spans="1:10" x14ac:dyDescent="0.2">
      <c r="A131" s="227" t="s">
        <v>318</v>
      </c>
      <c r="B131" s="227" t="s">
        <v>342</v>
      </c>
      <c r="C131" s="227" t="s">
        <v>296</v>
      </c>
      <c r="D131" s="228">
        <v>0.47877699136734009</v>
      </c>
      <c r="E131" s="228">
        <v>0.37963759899139404</v>
      </c>
      <c r="F131" s="228">
        <v>1.6551423817873001E-2</v>
      </c>
      <c r="G131" s="228">
        <v>2.0417984575033188E-2</v>
      </c>
      <c r="H131" s="228">
        <v>5.9158198535442352E-2</v>
      </c>
      <c r="I131" s="228">
        <v>4.5457862317562103E-2</v>
      </c>
      <c r="J131" s="227" t="s">
        <v>320</v>
      </c>
    </row>
    <row r="132" spans="1:10" x14ac:dyDescent="0.2">
      <c r="A132" s="227" t="s">
        <v>318</v>
      </c>
      <c r="B132" s="227" t="s">
        <v>342</v>
      </c>
      <c r="C132" s="227" t="s">
        <v>323</v>
      </c>
      <c r="D132" s="228">
        <v>0.49469482898712158</v>
      </c>
      <c r="E132" s="228">
        <v>0.39934417605400085</v>
      </c>
      <c r="F132" s="228">
        <v>3.2048225402832031E-3</v>
      </c>
      <c r="G132" s="228">
        <v>2.8121720533818007E-3</v>
      </c>
      <c r="H132" s="228">
        <v>6.1724394559860229E-2</v>
      </c>
      <c r="I132" s="228">
        <v>3.821965679526329E-2</v>
      </c>
      <c r="J132" s="227" t="s">
        <v>320</v>
      </c>
    </row>
    <row r="133" spans="1:10" x14ac:dyDescent="0.2">
      <c r="A133" s="227" t="s">
        <v>318</v>
      </c>
      <c r="B133" s="227" t="s">
        <v>342</v>
      </c>
      <c r="C133" s="227" t="s">
        <v>324</v>
      </c>
      <c r="D133" s="228">
        <v>0.25748148560523987</v>
      </c>
      <c r="E133" s="228">
        <v>0.13727051019668579</v>
      </c>
      <c r="F133" s="228">
        <v>0.16894832253456116</v>
      </c>
      <c r="G133" s="228">
        <v>9.576040506362915E-2</v>
      </c>
      <c r="H133" s="228">
        <v>0.22654584050178528</v>
      </c>
      <c r="I133" s="228">
        <v>0.11399344354867935</v>
      </c>
      <c r="J133" s="227" t="s">
        <v>320</v>
      </c>
    </row>
    <row r="134" spans="1:10" x14ac:dyDescent="0.2">
      <c r="A134" s="227" t="s">
        <v>318</v>
      </c>
      <c r="B134" s="227" t="s">
        <v>342</v>
      </c>
      <c r="C134" s="227" t="s">
        <v>325</v>
      </c>
      <c r="D134" s="228">
        <v>0.22302109003067017</v>
      </c>
      <c r="E134" s="228">
        <v>0.23946160078048706</v>
      </c>
      <c r="F134" s="228">
        <v>9.4097256660461426E-2</v>
      </c>
      <c r="G134" s="228">
        <v>0.1101885586977005</v>
      </c>
      <c r="H134" s="228">
        <v>0.16303643584251404</v>
      </c>
      <c r="I134" s="228">
        <v>0.17019504308700562</v>
      </c>
      <c r="J134" s="227" t="s">
        <v>320</v>
      </c>
    </row>
    <row r="135" spans="1:10" x14ac:dyDescent="0.2">
      <c r="A135" s="227" t="s">
        <v>318</v>
      </c>
      <c r="B135" s="227" t="s">
        <v>342</v>
      </c>
      <c r="C135" s="227" t="s">
        <v>302</v>
      </c>
      <c r="D135" s="228">
        <v>5.4986770264804363E-3</v>
      </c>
      <c r="E135" s="228">
        <v>1.5363741666078568E-2</v>
      </c>
      <c r="F135" s="228">
        <v>0.28741943836212158</v>
      </c>
      <c r="G135" s="228">
        <v>0.38815444707870483</v>
      </c>
      <c r="H135" s="228">
        <v>0.11768850684165955</v>
      </c>
      <c r="I135" s="228">
        <v>0.18587517738342285</v>
      </c>
      <c r="J135" s="227" t="s">
        <v>320</v>
      </c>
    </row>
    <row r="136" spans="1:10" x14ac:dyDescent="0.2">
      <c r="A136" s="227" t="s">
        <v>318</v>
      </c>
      <c r="B136" s="227" t="s">
        <v>342</v>
      </c>
      <c r="C136" s="227" t="s">
        <v>326</v>
      </c>
      <c r="D136" s="228">
        <v>5.5168992839753628E-3</v>
      </c>
      <c r="E136" s="228">
        <v>1.4599986374378204E-2</v>
      </c>
      <c r="F136" s="228">
        <v>0.29103022813796997</v>
      </c>
      <c r="G136" s="228">
        <v>0.39326661825180054</v>
      </c>
      <c r="H136" s="228">
        <v>0.11495614796876907</v>
      </c>
      <c r="I136" s="228">
        <v>0.18063010275363922</v>
      </c>
      <c r="J136" s="227" t="s">
        <v>320</v>
      </c>
    </row>
    <row r="137" spans="1:10" x14ac:dyDescent="0.2">
      <c r="A137" s="227" t="s">
        <v>318</v>
      </c>
      <c r="B137" s="227" t="s">
        <v>342</v>
      </c>
      <c r="C137" s="227" t="s">
        <v>327</v>
      </c>
      <c r="D137" s="228">
        <v>1.0597737127682194E-4</v>
      </c>
      <c r="E137" s="228">
        <v>7.9746358096599579E-4</v>
      </c>
      <c r="F137" s="228">
        <v>0.36287015676498413</v>
      </c>
      <c r="G137" s="228">
        <v>0.53032588958740234</v>
      </c>
      <c r="H137" s="228">
        <v>3.7440143525600433E-2</v>
      </c>
      <c r="I137" s="228">
        <v>6.8460419774055481E-2</v>
      </c>
      <c r="J137" s="227" t="s">
        <v>320</v>
      </c>
    </row>
    <row r="138" spans="1:10" x14ac:dyDescent="0.2">
      <c r="A138" s="227" t="s">
        <v>318</v>
      </c>
      <c r="B138" s="227" t="s">
        <v>342</v>
      </c>
      <c r="C138" s="227" t="s">
        <v>328</v>
      </c>
      <c r="D138" s="228">
        <v>0.22187235951423645</v>
      </c>
      <c r="E138" s="228">
        <v>0.23565319180488586</v>
      </c>
      <c r="F138" s="228">
        <v>9.7425475716590881E-2</v>
      </c>
      <c r="G138" s="228">
        <v>0.10910383611917496</v>
      </c>
      <c r="H138" s="228">
        <v>0.166290283203125</v>
      </c>
      <c r="I138" s="228">
        <v>0.16965487599372864</v>
      </c>
      <c r="J138" s="227" t="s">
        <v>320</v>
      </c>
    </row>
    <row r="139" spans="1:10" x14ac:dyDescent="0.2">
      <c r="A139" s="227" t="s">
        <v>318</v>
      </c>
      <c r="B139" s="227" t="s">
        <v>342</v>
      </c>
      <c r="C139" s="227" t="s">
        <v>329</v>
      </c>
      <c r="D139" s="228">
        <v>0.22550445795059204</v>
      </c>
      <c r="E139" s="228">
        <v>0.24027100205421448</v>
      </c>
      <c r="F139" s="228">
        <v>0.10740800201892853</v>
      </c>
      <c r="G139" s="228">
        <v>0.12015193700790405</v>
      </c>
      <c r="H139" s="228">
        <v>0.15171951055526733</v>
      </c>
      <c r="I139" s="228">
        <v>0.15494507551193237</v>
      </c>
      <c r="J139" s="227" t="s">
        <v>320</v>
      </c>
    </row>
    <row r="140" spans="1:10" x14ac:dyDescent="0.2">
      <c r="A140" s="227" t="s">
        <v>318</v>
      </c>
      <c r="B140" s="227" t="s">
        <v>342</v>
      </c>
      <c r="C140" s="227" t="s">
        <v>304</v>
      </c>
      <c r="D140" s="228">
        <v>0.20780856907367706</v>
      </c>
      <c r="E140" s="228">
        <v>0.16212116181850433</v>
      </c>
      <c r="F140" s="228">
        <v>0.15509270131587982</v>
      </c>
      <c r="G140" s="228">
        <v>0.12717722356319427</v>
      </c>
      <c r="H140" s="228">
        <v>0.19153608381748199</v>
      </c>
      <c r="I140" s="228">
        <v>0.15626424551010132</v>
      </c>
      <c r="J140" s="227" t="s">
        <v>305</v>
      </c>
    </row>
    <row r="141" spans="1:10" x14ac:dyDescent="0.2">
      <c r="A141" s="227" t="s">
        <v>318</v>
      </c>
      <c r="B141" s="227" t="s">
        <v>342</v>
      </c>
      <c r="C141" s="227" t="s">
        <v>330</v>
      </c>
      <c r="D141" s="228">
        <v>0.17025567591190338</v>
      </c>
      <c r="E141" s="228">
        <v>0.18891376256942749</v>
      </c>
      <c r="F141" s="228">
        <v>0.13978299498558044</v>
      </c>
      <c r="G141" s="228">
        <v>0.16728541254997253</v>
      </c>
      <c r="H141" s="228">
        <v>0.16029271483421326</v>
      </c>
      <c r="I141" s="228">
        <v>0.17346943914890289</v>
      </c>
      <c r="J141" s="227" t="s">
        <v>320</v>
      </c>
    </row>
    <row r="142" spans="1:10" x14ac:dyDescent="0.2">
      <c r="A142" s="227" t="s">
        <v>318</v>
      </c>
      <c r="B142" s="227" t="s">
        <v>342</v>
      </c>
      <c r="C142" s="227" t="s">
        <v>332</v>
      </c>
      <c r="D142" s="228">
        <v>0.22147729992866516</v>
      </c>
      <c r="E142" s="228">
        <v>0.19770079851150513</v>
      </c>
      <c r="F142" s="228">
        <v>0.1274222731590271</v>
      </c>
      <c r="G142" s="228">
        <v>0.11915306746959686</v>
      </c>
      <c r="H142" s="228">
        <v>0.18054652214050293</v>
      </c>
      <c r="I142" s="228">
        <v>0.15370005369186401</v>
      </c>
      <c r="J142" s="227" t="s">
        <v>320</v>
      </c>
    </row>
    <row r="143" spans="1:10" x14ac:dyDescent="0.2">
      <c r="A143" s="227" t="s">
        <v>318</v>
      </c>
      <c r="B143" s="227" t="s">
        <v>342</v>
      </c>
      <c r="C143" s="227" t="s">
        <v>333</v>
      </c>
      <c r="D143" s="228">
        <v>0.16115087270736694</v>
      </c>
      <c r="E143" s="228">
        <v>0.14682659506797791</v>
      </c>
      <c r="F143" s="228">
        <v>0.18048036098480225</v>
      </c>
      <c r="G143" s="228">
        <v>0.21410924196243286</v>
      </c>
      <c r="H143" s="228">
        <v>0.1434328705072403</v>
      </c>
      <c r="I143" s="228">
        <v>0.15400008857250214</v>
      </c>
      <c r="J143" s="227" t="s">
        <v>320</v>
      </c>
    </row>
    <row r="144" spans="1:10" x14ac:dyDescent="0.2">
      <c r="A144" s="227" t="s">
        <v>318</v>
      </c>
      <c r="B144" s="227" t="s">
        <v>342</v>
      </c>
      <c r="C144" s="227" t="s">
        <v>334</v>
      </c>
      <c r="D144" s="228">
        <v>0.18758174777030945</v>
      </c>
      <c r="E144" s="228">
        <v>0.20391212403774261</v>
      </c>
      <c r="F144" s="228">
        <v>0.13317763805389404</v>
      </c>
      <c r="G144" s="228">
        <v>0.14255422353744507</v>
      </c>
      <c r="H144" s="228">
        <v>0.16492092609405518</v>
      </c>
      <c r="I144" s="228">
        <v>0.16785335540771484</v>
      </c>
      <c r="J144" s="227" t="s">
        <v>320</v>
      </c>
    </row>
    <row r="145" spans="1:10" x14ac:dyDescent="0.2">
      <c r="A145" s="227" t="s">
        <v>318</v>
      </c>
      <c r="B145" s="227" t="s">
        <v>342</v>
      </c>
      <c r="C145" s="227" t="s">
        <v>338</v>
      </c>
      <c r="D145" s="228">
        <v>0.22779643535614014</v>
      </c>
      <c r="E145" s="228">
        <v>0.17254480719566345</v>
      </c>
      <c r="F145" s="228">
        <v>0.15495800971984863</v>
      </c>
      <c r="G145" s="228">
        <v>0.10638898611068726</v>
      </c>
      <c r="H145" s="228">
        <v>0.20208096504211426</v>
      </c>
      <c r="I145" s="228">
        <v>0.13623078167438507</v>
      </c>
      <c r="J145" s="227" t="s">
        <v>320</v>
      </c>
    </row>
    <row r="146" spans="1:10" x14ac:dyDescent="0.2">
      <c r="A146" s="227" t="s">
        <v>318</v>
      </c>
      <c r="B146" s="227" t="s">
        <v>342</v>
      </c>
      <c r="C146" s="227" t="s">
        <v>339</v>
      </c>
      <c r="D146" s="228">
        <v>0.22080260515213013</v>
      </c>
      <c r="E146" s="228">
        <v>0.23750039935112</v>
      </c>
      <c r="F146" s="228">
        <v>9.4859287142753601E-2</v>
      </c>
      <c r="G146" s="228">
        <v>0.11015865206718445</v>
      </c>
      <c r="H146" s="228">
        <v>0.16480661928653717</v>
      </c>
      <c r="I146" s="228">
        <v>0.17187243700027466</v>
      </c>
      <c r="J146" s="227" t="s">
        <v>320</v>
      </c>
    </row>
    <row r="147" spans="1:10" x14ac:dyDescent="0.2">
      <c r="A147" s="227" t="s">
        <v>318</v>
      </c>
      <c r="B147" s="227" t="s">
        <v>342</v>
      </c>
      <c r="C147" s="227" t="s">
        <v>308</v>
      </c>
      <c r="D147" s="228">
        <v>0.19578438997268677</v>
      </c>
      <c r="E147" s="228">
        <v>0.1620323657989502</v>
      </c>
      <c r="F147" s="228">
        <v>0.15468887984752655</v>
      </c>
      <c r="G147" s="228">
        <v>0.13632744550704956</v>
      </c>
      <c r="H147" s="228">
        <v>0.19596612453460693</v>
      </c>
      <c r="I147" s="228">
        <v>0.15520080924034119</v>
      </c>
      <c r="J147" s="227" t="s">
        <v>320</v>
      </c>
    </row>
    <row r="148" spans="1:10" x14ac:dyDescent="0.2">
      <c r="A148" s="227" t="s">
        <v>318</v>
      </c>
      <c r="B148" s="227" t="s">
        <v>342</v>
      </c>
      <c r="C148" s="227" t="s">
        <v>340</v>
      </c>
      <c r="D148" s="228">
        <v>0.21156501770019531</v>
      </c>
      <c r="E148" s="228">
        <v>0.17052695155143738</v>
      </c>
      <c r="F148" s="228">
        <v>0.1452975869178772</v>
      </c>
      <c r="G148" s="228">
        <v>0.14025780558586121</v>
      </c>
      <c r="H148" s="228">
        <v>0.1846887469291687</v>
      </c>
      <c r="I148" s="228">
        <v>0.14766389131546021</v>
      </c>
      <c r="J148" s="227" t="s">
        <v>320</v>
      </c>
    </row>
    <row r="149" spans="1:10" x14ac:dyDescent="0.2">
      <c r="A149" s="227" t="s">
        <v>318</v>
      </c>
      <c r="B149" s="227" t="s">
        <v>342</v>
      </c>
      <c r="C149" s="227" t="s">
        <v>341</v>
      </c>
      <c r="D149" s="228">
        <v>0.16115087270736694</v>
      </c>
      <c r="E149" s="228">
        <v>0.14682659506797791</v>
      </c>
      <c r="F149" s="228">
        <v>0.18048036098480225</v>
      </c>
      <c r="G149" s="228">
        <v>0.21410924196243286</v>
      </c>
      <c r="H149" s="228">
        <v>0.1434328705072403</v>
      </c>
      <c r="I149" s="228">
        <v>0.15400008857250214</v>
      </c>
      <c r="J149" s="227" t="s">
        <v>320</v>
      </c>
    </row>
    <row r="150" spans="1:10" x14ac:dyDescent="0.2">
      <c r="A150" s="227" t="s">
        <v>318</v>
      </c>
      <c r="B150" s="227" t="s">
        <v>343</v>
      </c>
      <c r="C150" s="227" t="s">
        <v>319</v>
      </c>
      <c r="D150" s="228">
        <v>0.19264411926269531</v>
      </c>
      <c r="E150" s="228">
        <v>0.1943870335817337</v>
      </c>
      <c r="F150" s="228">
        <v>0.14074444770812988</v>
      </c>
      <c r="G150" s="228">
        <v>0.14231178164482117</v>
      </c>
      <c r="H150" s="228">
        <v>0.16848903894424438</v>
      </c>
      <c r="I150" s="228">
        <v>0.16142357885837555</v>
      </c>
      <c r="J150" s="227" t="s">
        <v>320</v>
      </c>
    </row>
    <row r="151" spans="1:10" x14ac:dyDescent="0.2">
      <c r="A151" s="227" t="s">
        <v>318</v>
      </c>
      <c r="B151" s="227" t="s">
        <v>343</v>
      </c>
      <c r="C151" s="227" t="s">
        <v>321</v>
      </c>
      <c r="D151" s="228">
        <v>0.23864901065826416</v>
      </c>
      <c r="E151" s="228">
        <v>0.1560552716255188</v>
      </c>
      <c r="F151" s="228">
        <v>0.15659289062023163</v>
      </c>
      <c r="G151" s="228">
        <v>0.11269942671060562</v>
      </c>
      <c r="H151" s="228">
        <v>0.20673772692680359</v>
      </c>
      <c r="I151" s="228">
        <v>0.12926569581031799</v>
      </c>
      <c r="J151" s="227" t="s">
        <v>320</v>
      </c>
    </row>
    <row r="152" spans="1:10" x14ac:dyDescent="0.2">
      <c r="A152" s="227" t="s">
        <v>318</v>
      </c>
      <c r="B152" s="227" t="s">
        <v>343</v>
      </c>
      <c r="C152" s="227" t="s">
        <v>322</v>
      </c>
      <c r="D152" s="228">
        <v>0.25301563739776611</v>
      </c>
      <c r="E152" s="228">
        <v>0.17578780651092529</v>
      </c>
      <c r="F152" s="228">
        <v>0.14423444867134094</v>
      </c>
      <c r="G152" s="228">
        <v>0.10003179311752319</v>
      </c>
      <c r="H152" s="228">
        <v>0.1983703076839447</v>
      </c>
      <c r="I152" s="228">
        <v>0.12856003642082214</v>
      </c>
      <c r="J152" s="227" t="s">
        <v>320</v>
      </c>
    </row>
    <row r="153" spans="1:10" x14ac:dyDescent="0.2">
      <c r="A153" s="227" t="s">
        <v>318</v>
      </c>
      <c r="B153" s="227" t="s">
        <v>343</v>
      </c>
      <c r="C153" s="227" t="s">
        <v>296</v>
      </c>
      <c r="D153" s="228">
        <v>0.49062061309814453</v>
      </c>
      <c r="E153" s="228">
        <v>0.37157672643661499</v>
      </c>
      <c r="F153" s="228">
        <v>2.0993791520595551E-2</v>
      </c>
      <c r="G153" s="228">
        <v>2.6758521795272827E-2</v>
      </c>
      <c r="H153" s="228">
        <v>4.8400141298770905E-2</v>
      </c>
      <c r="I153" s="228">
        <v>4.1650202125310898E-2</v>
      </c>
      <c r="J153" s="227" t="s">
        <v>320</v>
      </c>
    </row>
    <row r="154" spans="1:10" x14ac:dyDescent="0.2">
      <c r="A154" s="227" t="s">
        <v>318</v>
      </c>
      <c r="B154" s="227" t="s">
        <v>343</v>
      </c>
      <c r="C154" s="227" t="s">
        <v>323</v>
      </c>
      <c r="D154" s="228">
        <v>0.52923202514648438</v>
      </c>
      <c r="E154" s="228">
        <v>0.40547487139701843</v>
      </c>
      <c r="F154" s="228">
        <v>5.7846441632136703E-4</v>
      </c>
      <c r="G154" s="228">
        <v>5.958240944892168E-4</v>
      </c>
      <c r="H154" s="228">
        <v>4.0904354304075241E-2</v>
      </c>
      <c r="I154" s="228">
        <v>2.3214481770992279E-2</v>
      </c>
      <c r="J154" s="227" t="s">
        <v>320</v>
      </c>
    </row>
    <row r="155" spans="1:10" x14ac:dyDescent="0.2">
      <c r="A155" s="227" t="s">
        <v>318</v>
      </c>
      <c r="B155" s="227" t="s">
        <v>343</v>
      </c>
      <c r="C155" s="227" t="s">
        <v>324</v>
      </c>
      <c r="D155" s="228">
        <v>0.26003888249397278</v>
      </c>
      <c r="E155" s="228">
        <v>0.13523194193840027</v>
      </c>
      <c r="F155" s="228">
        <v>0.16998690366744995</v>
      </c>
      <c r="G155" s="228">
        <v>9.6407204866409302E-2</v>
      </c>
      <c r="H155" s="228">
        <v>0.22656972706317902</v>
      </c>
      <c r="I155" s="228">
        <v>0.11176535487174988</v>
      </c>
      <c r="J155" s="227" t="s">
        <v>320</v>
      </c>
    </row>
    <row r="156" spans="1:10" x14ac:dyDescent="0.2">
      <c r="A156" s="227" t="s">
        <v>318</v>
      </c>
      <c r="B156" s="227" t="s">
        <v>343</v>
      </c>
      <c r="C156" s="227" t="s">
        <v>325</v>
      </c>
      <c r="D156" s="228">
        <v>0.22302109003067017</v>
      </c>
      <c r="E156" s="228">
        <v>0.23946161568164825</v>
      </c>
      <c r="F156" s="228">
        <v>9.4097256660461426E-2</v>
      </c>
      <c r="G156" s="228">
        <v>0.11018857359886169</v>
      </c>
      <c r="H156" s="228">
        <v>0.16303643584251404</v>
      </c>
      <c r="I156" s="228">
        <v>0.17019505798816681</v>
      </c>
      <c r="J156" s="227" t="s">
        <v>320</v>
      </c>
    </row>
    <row r="157" spans="1:10" x14ac:dyDescent="0.2">
      <c r="A157" s="227" t="s">
        <v>318</v>
      </c>
      <c r="B157" s="227" t="s">
        <v>343</v>
      </c>
      <c r="C157" s="227" t="s">
        <v>302</v>
      </c>
      <c r="D157" s="228">
        <v>7.8778425231575966E-3</v>
      </c>
      <c r="E157" s="228">
        <v>1.8345799297094345E-2</v>
      </c>
      <c r="F157" s="228">
        <v>0.28181183338165283</v>
      </c>
      <c r="G157" s="228">
        <v>0.36880850791931152</v>
      </c>
      <c r="H157" s="228">
        <v>0.12986405193805695</v>
      </c>
      <c r="I157" s="228">
        <v>0.19329194724559784</v>
      </c>
      <c r="J157" s="227" t="s">
        <v>320</v>
      </c>
    </row>
    <row r="158" spans="1:10" x14ac:dyDescent="0.2">
      <c r="A158" s="227" t="s">
        <v>318</v>
      </c>
      <c r="B158" s="227" t="s">
        <v>343</v>
      </c>
      <c r="C158" s="227" t="s">
        <v>326</v>
      </c>
      <c r="D158" s="228">
        <v>8.3731347694993019E-3</v>
      </c>
      <c r="E158" s="228">
        <v>1.9531391561031342E-2</v>
      </c>
      <c r="F158" s="228">
        <v>0.27984127402305603</v>
      </c>
      <c r="G158" s="228">
        <v>0.36978501081466675</v>
      </c>
      <c r="H158" s="228">
        <v>0.12979590892791748</v>
      </c>
      <c r="I158" s="228">
        <v>0.19267329573631287</v>
      </c>
      <c r="J158" s="227" t="s">
        <v>320</v>
      </c>
    </row>
    <row r="159" spans="1:10" x14ac:dyDescent="0.2">
      <c r="A159" s="227" t="s">
        <v>318</v>
      </c>
      <c r="B159" s="227" t="s">
        <v>343</v>
      </c>
      <c r="C159" s="227" t="s">
        <v>327</v>
      </c>
      <c r="D159" s="228">
        <v>3.17288504447788E-4</v>
      </c>
      <c r="E159" s="228">
        <v>1.8279405776411295E-3</v>
      </c>
      <c r="F159" s="228">
        <v>0.3342883288860321</v>
      </c>
      <c r="G159" s="228">
        <v>0.49623653292655945</v>
      </c>
      <c r="H159" s="228">
        <v>6.0777857899665833E-2</v>
      </c>
      <c r="I159" s="228">
        <v>0.10655202716588974</v>
      </c>
      <c r="J159" s="227" t="s">
        <v>320</v>
      </c>
    </row>
    <row r="160" spans="1:10" x14ac:dyDescent="0.2">
      <c r="A160" s="227" t="s">
        <v>318</v>
      </c>
      <c r="B160" s="227" t="s">
        <v>343</v>
      </c>
      <c r="C160" s="227" t="s">
        <v>328</v>
      </c>
      <c r="D160" s="228">
        <v>0.22191435098648071</v>
      </c>
      <c r="E160" s="228">
        <v>0.23585686087608337</v>
      </c>
      <c r="F160" s="228">
        <v>9.7231268882751465E-2</v>
      </c>
      <c r="G160" s="228">
        <v>0.1087447851896286</v>
      </c>
      <c r="H160" s="228">
        <v>0.16632702946662903</v>
      </c>
      <c r="I160" s="228">
        <v>0.16992570459842682</v>
      </c>
      <c r="J160" s="227" t="s">
        <v>320</v>
      </c>
    </row>
    <row r="161" spans="1:10" x14ac:dyDescent="0.2">
      <c r="A161" s="227" t="s">
        <v>318</v>
      </c>
      <c r="B161" s="227" t="s">
        <v>343</v>
      </c>
      <c r="C161" s="227" t="s">
        <v>329</v>
      </c>
      <c r="D161" s="228">
        <v>0.22544650733470917</v>
      </c>
      <c r="E161" s="228">
        <v>0.24018320441246033</v>
      </c>
      <c r="F161" s="228">
        <v>0.1074351891875267</v>
      </c>
      <c r="G161" s="228">
        <v>0.12021201848983765</v>
      </c>
      <c r="H161" s="228">
        <v>0.15180137753486633</v>
      </c>
      <c r="I161" s="228">
        <v>0.15492166578769684</v>
      </c>
      <c r="J161" s="227" t="s">
        <v>320</v>
      </c>
    </row>
    <row r="162" spans="1:10" x14ac:dyDescent="0.2">
      <c r="A162" s="227" t="s">
        <v>318</v>
      </c>
      <c r="B162" s="227" t="s">
        <v>343</v>
      </c>
      <c r="C162" s="227" t="s">
        <v>304</v>
      </c>
      <c r="D162" s="228">
        <v>0.20780856907367706</v>
      </c>
      <c r="E162" s="228">
        <v>0.16212116181850433</v>
      </c>
      <c r="F162" s="228">
        <v>0.15509270131587982</v>
      </c>
      <c r="G162" s="228">
        <v>0.12717722356319427</v>
      </c>
      <c r="H162" s="228">
        <v>0.19153608381748199</v>
      </c>
      <c r="I162" s="228">
        <v>0.15626424551010132</v>
      </c>
      <c r="J162" s="227" t="s">
        <v>305</v>
      </c>
    </row>
    <row r="163" spans="1:10" x14ac:dyDescent="0.2">
      <c r="A163" s="227" t="s">
        <v>318</v>
      </c>
      <c r="B163" s="227" t="s">
        <v>343</v>
      </c>
      <c r="C163" s="227" t="s">
        <v>330</v>
      </c>
      <c r="D163" s="228">
        <v>0.17213253676891327</v>
      </c>
      <c r="E163" s="228">
        <v>0.18957948684692383</v>
      </c>
      <c r="F163" s="228">
        <v>0.13937786221504211</v>
      </c>
      <c r="G163" s="228">
        <v>0.16597293317317963</v>
      </c>
      <c r="H163" s="228">
        <v>0.1607300192117691</v>
      </c>
      <c r="I163" s="228">
        <v>0.17220717668533325</v>
      </c>
      <c r="J163" s="227" t="s">
        <v>320</v>
      </c>
    </row>
    <row r="164" spans="1:10" x14ac:dyDescent="0.2">
      <c r="A164" s="227" t="s">
        <v>318</v>
      </c>
      <c r="B164" s="227" t="s">
        <v>343</v>
      </c>
      <c r="C164" s="227" t="s">
        <v>331</v>
      </c>
      <c r="D164" s="228">
        <v>0.1664118766784668</v>
      </c>
      <c r="E164" s="228">
        <v>0.18237671256065369</v>
      </c>
      <c r="F164" s="228">
        <v>0.14056144654750824</v>
      </c>
      <c r="G164" s="228">
        <v>0.17593495547771454</v>
      </c>
      <c r="H164" s="228">
        <v>0.1627020388841629</v>
      </c>
      <c r="I164" s="228">
        <v>0.17201302945613861</v>
      </c>
      <c r="J164" s="227" t="s">
        <v>320</v>
      </c>
    </row>
    <row r="165" spans="1:10" x14ac:dyDescent="0.2">
      <c r="A165" s="227" t="s">
        <v>318</v>
      </c>
      <c r="B165" s="227" t="s">
        <v>343</v>
      </c>
      <c r="C165" s="227" t="s">
        <v>332</v>
      </c>
      <c r="D165" s="228">
        <v>0.21150100231170654</v>
      </c>
      <c r="E165" s="228">
        <v>0.20767708122730255</v>
      </c>
      <c r="F165" s="228">
        <v>0.12143606692552567</v>
      </c>
      <c r="G165" s="228">
        <v>0.1251392662525177</v>
      </c>
      <c r="H165" s="228">
        <v>0.1723112016916275</v>
      </c>
      <c r="I165" s="228">
        <v>0.16193535923957825</v>
      </c>
      <c r="J165" s="227" t="s">
        <v>320</v>
      </c>
    </row>
    <row r="166" spans="1:10" x14ac:dyDescent="0.2">
      <c r="A166" s="227" t="s">
        <v>318</v>
      </c>
      <c r="B166" s="227" t="s">
        <v>343</v>
      </c>
      <c r="C166" s="227" t="s">
        <v>333</v>
      </c>
      <c r="D166" s="228">
        <v>0.19265274703502655</v>
      </c>
      <c r="E166" s="228">
        <v>0.17015032470226288</v>
      </c>
      <c r="F166" s="228">
        <v>0.16076889634132385</v>
      </c>
      <c r="G166" s="228">
        <v>0.1786179393529892</v>
      </c>
      <c r="H166" s="228">
        <v>0.14930355548858643</v>
      </c>
      <c r="I166" s="228">
        <v>0.14850655198097229</v>
      </c>
      <c r="J166" s="227" t="s">
        <v>320</v>
      </c>
    </row>
    <row r="167" spans="1:10" x14ac:dyDescent="0.2">
      <c r="A167" s="227" t="s">
        <v>318</v>
      </c>
      <c r="B167" s="227" t="s">
        <v>343</v>
      </c>
      <c r="C167" s="227" t="s">
        <v>334</v>
      </c>
      <c r="D167" s="228">
        <v>0.1875281035900116</v>
      </c>
      <c r="E167" s="228">
        <v>0.2040112316608429</v>
      </c>
      <c r="F167" s="228">
        <v>0.13295614719390869</v>
      </c>
      <c r="G167" s="228">
        <v>0.14272463321685791</v>
      </c>
      <c r="H167" s="228">
        <v>0.16479147970676422</v>
      </c>
      <c r="I167" s="228">
        <v>0.16798840463161469</v>
      </c>
      <c r="J167" s="227" t="s">
        <v>320</v>
      </c>
    </row>
    <row r="168" spans="1:10" x14ac:dyDescent="0.2">
      <c r="A168" s="227" t="s">
        <v>318</v>
      </c>
      <c r="B168" s="227" t="s">
        <v>343</v>
      </c>
      <c r="C168" s="227" t="s">
        <v>335</v>
      </c>
      <c r="D168" s="228">
        <v>0.23949667811393738</v>
      </c>
      <c r="E168" s="228">
        <v>0.14266851544380188</v>
      </c>
      <c r="F168" s="228">
        <v>0.17892836034297943</v>
      </c>
      <c r="G168" s="228">
        <v>0.10629703104496002</v>
      </c>
      <c r="H168" s="228">
        <v>0.21436740458011627</v>
      </c>
      <c r="I168" s="228">
        <v>0.11824200302362442</v>
      </c>
      <c r="J168" s="227" t="s">
        <v>320</v>
      </c>
    </row>
    <row r="169" spans="1:10" x14ac:dyDescent="0.2">
      <c r="A169" s="227" t="s">
        <v>318</v>
      </c>
      <c r="B169" s="227" t="s">
        <v>343</v>
      </c>
      <c r="C169" s="227" t="s">
        <v>336</v>
      </c>
      <c r="D169" s="228">
        <v>0.23968818783760071</v>
      </c>
      <c r="E169" s="228">
        <v>0.14268699288368225</v>
      </c>
      <c r="F169" s="228">
        <v>0.17887993156909943</v>
      </c>
      <c r="G169" s="228">
        <v>0.10634481906890869</v>
      </c>
      <c r="H169" s="228">
        <v>0.21432672441005707</v>
      </c>
      <c r="I169" s="228">
        <v>0.11807332932949066</v>
      </c>
      <c r="J169" s="227" t="s">
        <v>320</v>
      </c>
    </row>
    <row r="170" spans="1:10" x14ac:dyDescent="0.2">
      <c r="A170" s="227" t="s">
        <v>318</v>
      </c>
      <c r="B170" s="227" t="s">
        <v>343</v>
      </c>
      <c r="C170" s="227" t="s">
        <v>337</v>
      </c>
      <c r="D170" s="228">
        <v>0.34827655553817749</v>
      </c>
      <c r="E170" s="228">
        <v>0.16316825151443481</v>
      </c>
      <c r="F170" s="228">
        <v>0.11226741224527359</v>
      </c>
      <c r="G170" s="228">
        <v>5.5537309497594833E-2</v>
      </c>
      <c r="H170" s="228">
        <v>0.22364512085914612</v>
      </c>
      <c r="I170" s="228">
        <v>9.7105391323566437E-2</v>
      </c>
      <c r="J170" s="227" t="s">
        <v>320</v>
      </c>
    </row>
    <row r="171" spans="1:10" x14ac:dyDescent="0.2">
      <c r="A171" s="227" t="s">
        <v>318</v>
      </c>
      <c r="B171" s="227" t="s">
        <v>343</v>
      </c>
      <c r="C171" s="227" t="s">
        <v>338</v>
      </c>
      <c r="D171" s="228">
        <v>0.2269483208656311</v>
      </c>
      <c r="E171" s="228">
        <v>0.1736585944890976</v>
      </c>
      <c r="F171" s="228">
        <v>0.1548009067773819</v>
      </c>
      <c r="G171" s="228">
        <v>0.10745006054639816</v>
      </c>
      <c r="H171" s="228">
        <v>0.19937673211097717</v>
      </c>
      <c r="I171" s="228">
        <v>0.13776539266109467</v>
      </c>
      <c r="J171" s="227" t="s">
        <v>320</v>
      </c>
    </row>
    <row r="172" spans="1:10" x14ac:dyDescent="0.2">
      <c r="A172" s="227" t="s">
        <v>318</v>
      </c>
      <c r="B172" s="227" t="s">
        <v>343</v>
      </c>
      <c r="C172" s="227" t="s">
        <v>339</v>
      </c>
      <c r="D172" s="228">
        <v>0.2208627313375473</v>
      </c>
      <c r="E172" s="228">
        <v>0.23739945888519287</v>
      </c>
      <c r="F172" s="228">
        <v>9.5015056431293488E-2</v>
      </c>
      <c r="G172" s="228">
        <v>0.11033865064382553</v>
      </c>
      <c r="H172" s="228">
        <v>0.16472350060939789</v>
      </c>
      <c r="I172" s="228">
        <v>0.17166060209274292</v>
      </c>
      <c r="J172" s="227" t="s">
        <v>320</v>
      </c>
    </row>
    <row r="173" spans="1:10" x14ac:dyDescent="0.2">
      <c r="A173" s="227" t="s">
        <v>318</v>
      </c>
      <c r="B173" s="227" t="s">
        <v>343</v>
      </c>
      <c r="C173" s="227" t="s">
        <v>308</v>
      </c>
      <c r="D173" s="228">
        <v>0.19830077886581421</v>
      </c>
      <c r="E173" s="228">
        <v>0.16087938845157623</v>
      </c>
      <c r="F173" s="228">
        <v>0.15552806854248047</v>
      </c>
      <c r="G173" s="228">
        <v>0.13427817821502686</v>
      </c>
      <c r="H173" s="228">
        <v>0.19806070625782013</v>
      </c>
      <c r="I173" s="228">
        <v>0.15295286476612091</v>
      </c>
      <c r="J173" s="227" t="s">
        <v>320</v>
      </c>
    </row>
    <row r="174" spans="1:10" x14ac:dyDescent="0.2">
      <c r="A174" s="227" t="s">
        <v>318</v>
      </c>
      <c r="B174" s="227" t="s">
        <v>343</v>
      </c>
      <c r="C174" s="227" t="s">
        <v>340</v>
      </c>
      <c r="D174" s="228">
        <v>0.21156282722949982</v>
      </c>
      <c r="E174" s="228">
        <v>0.1705201119184494</v>
      </c>
      <c r="F174" s="228">
        <v>0.14514942467212677</v>
      </c>
      <c r="G174" s="228">
        <v>0.14016279578208923</v>
      </c>
      <c r="H174" s="228">
        <v>0.18489240109920502</v>
      </c>
      <c r="I174" s="228">
        <v>0.14771245419979095</v>
      </c>
      <c r="J174" s="227" t="s">
        <v>320</v>
      </c>
    </row>
    <row r="175" spans="1:10" x14ac:dyDescent="0.2">
      <c r="A175" s="227" t="s">
        <v>318</v>
      </c>
      <c r="B175" s="227" t="s">
        <v>343</v>
      </c>
      <c r="C175" s="227" t="s">
        <v>341</v>
      </c>
      <c r="D175" s="228">
        <v>0.19281980395317078</v>
      </c>
      <c r="E175" s="228">
        <v>0.17015165090560913</v>
      </c>
      <c r="F175" s="228">
        <v>0.1607111394405365</v>
      </c>
      <c r="G175" s="228">
        <v>0.17848338186740875</v>
      </c>
      <c r="H175" s="228">
        <v>0.14938056468963623</v>
      </c>
      <c r="I175" s="228">
        <v>0.148453488945961</v>
      </c>
      <c r="J175" s="227" t="s">
        <v>320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91D3C-2466-430E-B711-AB706AE08FF5}">
  <sheetPr codeName="Sheet17">
    <tabColor rgb="FFFFC000"/>
  </sheetPr>
  <dimension ref="A11:U47"/>
  <sheetViews>
    <sheetView zoomScaleNormal="100" workbookViewId="0">
      <selection activeCell="F3" sqref="F3"/>
    </sheetView>
  </sheetViews>
  <sheetFormatPr defaultRowHeight="15" x14ac:dyDescent="0.25"/>
  <cols>
    <col min="1" max="1" width="3.85546875" customWidth="1"/>
    <col min="2" max="2" width="14.140625" customWidth="1"/>
    <col min="3" max="3" width="21.140625" customWidth="1"/>
    <col min="4" max="9" width="8.85546875" bestFit="1" customWidth="1"/>
    <col min="10" max="10" width="7.42578125" customWidth="1"/>
    <col min="11" max="11" width="2.140625" customWidth="1"/>
    <col min="12" max="12" width="10.85546875" customWidth="1"/>
  </cols>
  <sheetData>
    <row r="11" spans="1:10" x14ac:dyDescent="0.25">
      <c r="C11" s="251"/>
    </row>
    <row r="12" spans="1:10" x14ac:dyDescent="0.25">
      <c r="C12" s="251"/>
    </row>
    <row r="13" spans="1:10" x14ac:dyDescent="0.25">
      <c r="D13" t="s">
        <v>344</v>
      </c>
      <c r="E13" t="s">
        <v>344</v>
      </c>
      <c r="F13" t="s">
        <v>344</v>
      </c>
      <c r="G13" t="s">
        <v>344</v>
      </c>
      <c r="H13" t="s">
        <v>344</v>
      </c>
      <c r="I13" t="s">
        <v>344</v>
      </c>
      <c r="J13" s="267" t="s">
        <v>345</v>
      </c>
    </row>
    <row r="14" spans="1:10" x14ac:dyDescent="0.25">
      <c r="D14" s="107">
        <v>2018</v>
      </c>
      <c r="E14" s="107">
        <v>2019</v>
      </c>
      <c r="F14" s="107">
        <v>2020</v>
      </c>
      <c r="G14" s="107">
        <v>2021</v>
      </c>
      <c r="H14" s="107">
        <v>2022</v>
      </c>
      <c r="I14" s="107">
        <v>2023</v>
      </c>
      <c r="J14" s="107">
        <v>2024</v>
      </c>
    </row>
    <row r="15" spans="1:10" x14ac:dyDescent="0.25">
      <c r="A15" s="34" t="s">
        <v>84</v>
      </c>
      <c r="B15" s="35" t="s">
        <v>85</v>
      </c>
      <c r="C15" t="s">
        <v>346</v>
      </c>
      <c r="D15">
        <v>39.979999999999997</v>
      </c>
      <c r="E15">
        <v>27.69</v>
      </c>
      <c r="F15">
        <v>22.79</v>
      </c>
      <c r="G15">
        <v>39.17</v>
      </c>
      <c r="H15">
        <v>74.760000000000005</v>
      </c>
      <c r="I15">
        <v>31.31</v>
      </c>
    </row>
    <row r="16" spans="1:10" x14ac:dyDescent="0.25">
      <c r="A16" s="34" t="s">
        <v>87</v>
      </c>
      <c r="B16" s="35" t="s">
        <v>88</v>
      </c>
      <c r="C16" s="234" t="s">
        <v>347</v>
      </c>
      <c r="D16" s="233">
        <v>37.06</v>
      </c>
      <c r="E16" s="233">
        <v>26.34</v>
      </c>
      <c r="F16" s="233">
        <v>21.16</v>
      </c>
      <c r="G16" s="233">
        <v>39.97</v>
      </c>
      <c r="H16" s="233">
        <v>82.2</v>
      </c>
      <c r="I16" s="233">
        <v>27.93</v>
      </c>
      <c r="J16" s="233">
        <v>29.05</v>
      </c>
    </row>
    <row r="17" spans="1:10" x14ac:dyDescent="0.25">
      <c r="A17" s="34" t="s">
        <v>90</v>
      </c>
      <c r="B17" s="35" t="s">
        <v>91</v>
      </c>
      <c r="C17" s="235" t="s">
        <v>91</v>
      </c>
      <c r="D17" s="235">
        <v>36.36</v>
      </c>
      <c r="E17">
        <v>24.75</v>
      </c>
      <c r="F17">
        <v>19.29</v>
      </c>
      <c r="G17">
        <v>33.549999999999997</v>
      </c>
      <c r="H17">
        <v>71.67</v>
      </c>
      <c r="I17">
        <v>23.63</v>
      </c>
    </row>
    <row r="18" spans="1:10" x14ac:dyDescent="0.25">
      <c r="A18" s="34" t="s">
        <v>92</v>
      </c>
      <c r="B18" s="35" t="s">
        <v>93</v>
      </c>
      <c r="C18" s="268" t="s">
        <v>348</v>
      </c>
      <c r="D18" s="233">
        <v>37.9</v>
      </c>
      <c r="E18" s="233">
        <v>26.17</v>
      </c>
      <c r="F18" s="233">
        <v>20.84</v>
      </c>
      <c r="G18" s="233">
        <v>37.729999999999997</v>
      </c>
      <c r="H18" s="233">
        <v>73.260000000000005</v>
      </c>
      <c r="I18" s="233">
        <v>31.01</v>
      </c>
      <c r="J18" s="233">
        <v>31.8</v>
      </c>
    </row>
    <row r="19" spans="1:10" x14ac:dyDescent="0.25">
      <c r="A19" s="34" t="s">
        <v>94</v>
      </c>
      <c r="B19" s="35" t="s">
        <v>95</v>
      </c>
      <c r="C19" s="268" t="s">
        <v>212</v>
      </c>
      <c r="D19" s="266">
        <v>40.19</v>
      </c>
      <c r="E19" s="266">
        <v>28.06</v>
      </c>
      <c r="F19" s="266">
        <v>22.55</v>
      </c>
      <c r="G19" s="266">
        <v>39.47</v>
      </c>
      <c r="H19" s="266">
        <v>74.959999999999994</v>
      </c>
      <c r="I19" s="266">
        <v>31.05</v>
      </c>
      <c r="J19" s="266">
        <v>31.96</v>
      </c>
    </row>
    <row r="20" spans="1:10" x14ac:dyDescent="0.25">
      <c r="A20" s="34" t="s">
        <v>96</v>
      </c>
      <c r="B20" s="35" t="s">
        <v>97</v>
      </c>
      <c r="C20" s="267" t="s">
        <v>97</v>
      </c>
      <c r="D20" s="267">
        <v>35.950000000000003</v>
      </c>
      <c r="E20" s="267">
        <v>24.85</v>
      </c>
      <c r="F20" s="267">
        <v>19.420000000000002</v>
      </c>
      <c r="G20" s="267">
        <v>35.92</v>
      </c>
      <c r="H20" s="267">
        <v>75.739999999999995</v>
      </c>
      <c r="I20" s="267">
        <v>25.73</v>
      </c>
      <c r="J20" s="267"/>
    </row>
    <row r="21" spans="1:10" x14ac:dyDescent="0.25">
      <c r="A21" s="34" t="s">
        <v>98</v>
      </c>
      <c r="B21" s="35" t="s">
        <v>66</v>
      </c>
      <c r="C21" s="268" t="s">
        <v>214</v>
      </c>
      <c r="D21" s="266">
        <v>39.78</v>
      </c>
      <c r="E21" s="266">
        <v>27.83</v>
      </c>
      <c r="F21" s="266">
        <v>22.4</v>
      </c>
      <c r="G21" s="266">
        <v>40.44</v>
      </c>
      <c r="H21" s="266">
        <v>79.010000000000005</v>
      </c>
      <c r="I21" s="266">
        <v>32.49</v>
      </c>
      <c r="J21" s="266">
        <v>32.39</v>
      </c>
    </row>
    <row r="22" spans="1:10" x14ac:dyDescent="0.25">
      <c r="B22" s="134" t="s">
        <v>144</v>
      </c>
      <c r="C22" t="s">
        <v>144</v>
      </c>
      <c r="D22" s="233">
        <v>36.950000000000003</v>
      </c>
      <c r="E22" s="233">
        <v>26.7</v>
      </c>
      <c r="F22" s="233">
        <v>20.92</v>
      </c>
      <c r="G22" s="233">
        <v>38.880000000000003</v>
      </c>
      <c r="H22" s="233">
        <v>74.25</v>
      </c>
      <c r="I22" s="233">
        <v>31.78</v>
      </c>
      <c r="J22" s="233">
        <v>31.48</v>
      </c>
    </row>
    <row r="24" spans="1:10" x14ac:dyDescent="0.25">
      <c r="B24" s="251"/>
      <c r="C24" s="251"/>
    </row>
    <row r="25" spans="1:10" x14ac:dyDescent="0.25">
      <c r="B25" s="251"/>
      <c r="C25" s="251"/>
    </row>
    <row r="26" spans="1:10" x14ac:dyDescent="0.25">
      <c r="D26" s="251"/>
    </row>
    <row r="33" spans="7:21" ht="14.45" customHeight="1" x14ac:dyDescent="0.25">
      <c r="G33" s="269"/>
      <c r="H33" s="269"/>
      <c r="I33" s="269"/>
      <c r="J33" s="269"/>
    </row>
    <row r="34" spans="7:21" ht="14.45" customHeight="1" x14ac:dyDescent="0.25">
      <c r="G34" s="269"/>
      <c r="H34" s="269"/>
      <c r="I34" s="269"/>
      <c r="J34" s="269"/>
    </row>
    <row r="35" spans="7:21" x14ac:dyDescent="0.25">
      <c r="G35" s="269"/>
      <c r="H35" s="269"/>
      <c r="I35" s="269"/>
      <c r="J35" s="269"/>
    </row>
    <row r="47" spans="7:21" x14ac:dyDescent="0.25">
      <c r="N47" s="270"/>
      <c r="O47" s="270"/>
      <c r="P47" s="270"/>
      <c r="Q47" s="270"/>
      <c r="R47" s="270"/>
      <c r="S47" s="270"/>
      <c r="T47" s="270"/>
      <c r="U47" s="270"/>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6381-C97C-46EB-997C-35F7E187937C}">
  <sheetPr codeName="Sheet18">
    <tabColor theme="7" tint="0.79998168889431442"/>
  </sheetPr>
  <dimension ref="B4:G12"/>
  <sheetViews>
    <sheetView workbookViewId="0">
      <selection activeCell="C6" sqref="C6"/>
    </sheetView>
  </sheetViews>
  <sheetFormatPr defaultColWidth="8.85546875" defaultRowHeight="15" x14ac:dyDescent="0.25"/>
  <cols>
    <col min="2" max="2" width="11.85546875" customWidth="1"/>
    <col min="3" max="3" width="16.42578125" bestFit="1" customWidth="1"/>
  </cols>
  <sheetData>
    <row r="4" spans="2:7" ht="15.75" thickBot="1" x14ac:dyDescent="0.3">
      <c r="B4" s="12" t="s">
        <v>349</v>
      </c>
      <c r="E4" s="84" t="s">
        <v>350</v>
      </c>
      <c r="F4" s="50"/>
      <c r="G4" s="50"/>
    </row>
    <row r="5" spans="2:7" x14ac:dyDescent="0.25">
      <c r="B5" s="167" t="s">
        <v>142</v>
      </c>
      <c r="C5" s="168" t="s">
        <v>351</v>
      </c>
      <c r="E5" s="185" t="s">
        <v>142</v>
      </c>
      <c r="F5" s="180">
        <v>2026</v>
      </c>
      <c r="G5" s="181">
        <v>2021</v>
      </c>
    </row>
    <row r="6" spans="2:7" x14ac:dyDescent="0.25">
      <c r="B6" s="169" t="s">
        <v>91</v>
      </c>
      <c r="C6" s="170">
        <v>0</v>
      </c>
      <c r="E6" s="79" t="s">
        <v>85</v>
      </c>
      <c r="F6" s="125">
        <v>0</v>
      </c>
      <c r="G6" s="170">
        <v>0</v>
      </c>
    </row>
    <row r="7" spans="2:7" x14ac:dyDescent="0.25">
      <c r="B7" s="169" t="s">
        <v>97</v>
      </c>
      <c r="C7" s="170">
        <f t="shared" ref="C7:C12" si="0">C6+4</f>
        <v>4</v>
      </c>
      <c r="E7" s="79" t="s">
        <v>352</v>
      </c>
      <c r="F7" s="125">
        <v>4</v>
      </c>
      <c r="G7" s="170">
        <v>5</v>
      </c>
    </row>
    <row r="8" spans="2:7" x14ac:dyDescent="0.25">
      <c r="B8" s="169" t="s">
        <v>85</v>
      </c>
      <c r="C8" s="170">
        <f t="shared" si="0"/>
        <v>8</v>
      </c>
      <c r="E8" s="79" t="s">
        <v>91</v>
      </c>
      <c r="F8" s="125">
        <v>8</v>
      </c>
      <c r="G8" s="170">
        <v>10</v>
      </c>
    </row>
    <row r="9" spans="2:7" x14ac:dyDescent="0.25">
      <c r="B9" s="169" t="s">
        <v>88</v>
      </c>
      <c r="C9" s="170">
        <f t="shared" si="0"/>
        <v>12</v>
      </c>
      <c r="E9" s="79" t="s">
        <v>93</v>
      </c>
      <c r="F9" s="125">
        <v>12</v>
      </c>
      <c r="G9" s="170">
        <v>15</v>
      </c>
    </row>
    <row r="10" spans="2:7" x14ac:dyDescent="0.25">
      <c r="B10" s="169" t="s">
        <v>93</v>
      </c>
      <c r="C10" s="170">
        <f t="shared" si="0"/>
        <v>16</v>
      </c>
      <c r="E10" s="79" t="s">
        <v>95</v>
      </c>
      <c r="F10" s="125">
        <v>16</v>
      </c>
      <c r="G10" s="170">
        <v>20</v>
      </c>
    </row>
    <row r="11" spans="2:7" x14ac:dyDescent="0.25">
      <c r="B11" s="169" t="s">
        <v>95</v>
      </c>
      <c r="C11" s="170">
        <f t="shared" si="0"/>
        <v>20</v>
      </c>
      <c r="E11" s="79" t="s">
        <v>97</v>
      </c>
      <c r="F11" s="125">
        <v>20</v>
      </c>
      <c r="G11" s="170">
        <v>25</v>
      </c>
    </row>
    <row r="12" spans="2:7" ht="15.75" thickBot="1" x14ac:dyDescent="0.3">
      <c r="B12" s="171" t="s">
        <v>66</v>
      </c>
      <c r="C12" s="172">
        <f t="shared" si="0"/>
        <v>24</v>
      </c>
      <c r="E12" s="78" t="s">
        <v>66</v>
      </c>
      <c r="F12" s="126">
        <v>24</v>
      </c>
      <c r="G12" s="172">
        <v>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Z143"/>
  <sheetViews>
    <sheetView tabSelected="1" zoomScale="120" zoomScaleNormal="120" workbookViewId="0">
      <selection activeCell="C2" sqref="C2"/>
    </sheetView>
  </sheetViews>
  <sheetFormatPr defaultColWidth="9.140625" defaultRowHeight="12.75" x14ac:dyDescent="0.2"/>
  <cols>
    <col min="1" max="1" width="3.85546875" style="50" customWidth="1"/>
    <col min="2" max="2" width="29.140625" style="2" bestFit="1" customWidth="1"/>
    <col min="3" max="3" width="11.140625" style="2" bestFit="1" customWidth="1"/>
    <col min="4" max="4" width="26.85546875" style="2" bestFit="1" customWidth="1"/>
    <col min="5" max="5" width="3.140625" style="50" customWidth="1"/>
    <col min="6" max="6" width="10" style="2" bestFit="1" customWidth="1"/>
    <col min="7" max="8" width="11.140625" style="2" bestFit="1" customWidth="1"/>
    <col min="9" max="9" width="16.140625" style="2" bestFit="1" customWidth="1"/>
    <col min="10" max="10" width="3.140625" style="50" customWidth="1"/>
    <col min="11" max="11" width="11.42578125" style="50" bestFit="1" customWidth="1"/>
    <col min="12" max="26" width="9.140625" style="50"/>
    <col min="27" max="16384" width="9.140625" style="2"/>
  </cols>
  <sheetData>
    <row r="1" spans="2:16" s="50" customFormat="1" ht="15" customHeight="1" x14ac:dyDescent="0.2">
      <c r="B1" s="308" t="s">
        <v>63</v>
      </c>
      <c r="C1" s="308"/>
      <c r="D1" s="308"/>
      <c r="F1" s="310" t="s">
        <v>64</v>
      </c>
      <c r="G1" s="310"/>
      <c r="H1" s="310"/>
      <c r="I1" s="311"/>
    </row>
    <row r="2" spans="2:16" x14ac:dyDescent="0.2">
      <c r="B2" s="26" t="s">
        <v>65</v>
      </c>
      <c r="C2" s="27" t="s">
        <v>66</v>
      </c>
      <c r="D2" s="43"/>
      <c r="F2" s="288" t="s">
        <v>67</v>
      </c>
      <c r="G2" s="288" t="s">
        <v>68</v>
      </c>
      <c r="H2" s="288" t="s">
        <v>69</v>
      </c>
      <c r="I2" s="288" t="s">
        <v>70</v>
      </c>
      <c r="K2" s="246"/>
    </row>
    <row r="3" spans="2:16" ht="12.95" customHeight="1" x14ac:dyDescent="0.2">
      <c r="B3" s="26" t="s">
        <v>71</v>
      </c>
      <c r="C3" s="27">
        <v>18</v>
      </c>
      <c r="D3" s="29">
        <v>2027</v>
      </c>
      <c r="F3" s="30">
        <v>18</v>
      </c>
      <c r="G3" s="30">
        <v>2026</v>
      </c>
      <c r="H3" s="30">
        <v>2027</v>
      </c>
      <c r="I3" s="30">
        <v>2027</v>
      </c>
      <c r="K3" s="309"/>
      <c r="L3" s="309"/>
      <c r="M3" s="309"/>
      <c r="N3" s="309"/>
      <c r="O3" s="51"/>
      <c r="P3" s="51"/>
    </row>
    <row r="4" spans="2:16" x14ac:dyDescent="0.2">
      <c r="B4" s="26" t="s">
        <v>72</v>
      </c>
      <c r="C4" s="189">
        <v>0.05</v>
      </c>
      <c r="D4" s="190" t="s">
        <v>73</v>
      </c>
      <c r="F4" s="30">
        <v>19</v>
      </c>
      <c r="G4" s="30">
        <v>2027</v>
      </c>
      <c r="H4" s="30">
        <v>2028</v>
      </c>
      <c r="I4" s="30">
        <v>2028</v>
      </c>
      <c r="K4" s="309"/>
      <c r="L4" s="309"/>
      <c r="M4" s="309"/>
      <c r="N4" s="309"/>
      <c r="O4" s="51"/>
      <c r="P4" s="51"/>
    </row>
    <row r="5" spans="2:16" x14ac:dyDescent="0.2">
      <c r="B5" s="26" t="s">
        <v>15</v>
      </c>
      <c r="C5" s="189">
        <v>0.02</v>
      </c>
      <c r="D5" s="190" t="s">
        <v>74</v>
      </c>
      <c r="F5" s="30">
        <v>20</v>
      </c>
      <c r="G5" s="30">
        <v>2028</v>
      </c>
      <c r="H5" s="30">
        <v>2029</v>
      </c>
      <c r="I5" s="30">
        <v>2029</v>
      </c>
      <c r="K5" s="309"/>
      <c r="L5" s="309"/>
      <c r="M5" s="309"/>
      <c r="N5" s="309"/>
    </row>
    <row r="6" spans="2:16" x14ac:dyDescent="0.2">
      <c r="B6" s="308" t="s">
        <v>75</v>
      </c>
      <c r="C6" s="308"/>
      <c r="D6" s="308"/>
      <c r="F6" s="30">
        <v>21</v>
      </c>
      <c r="G6" s="30">
        <v>2029</v>
      </c>
      <c r="H6" s="30">
        <v>2030</v>
      </c>
      <c r="I6" s="30">
        <v>2030</v>
      </c>
    </row>
    <row r="7" spans="2:16" ht="25.5" x14ac:dyDescent="0.2">
      <c r="B7" s="31"/>
      <c r="C7" s="32" t="s">
        <v>76</v>
      </c>
      <c r="D7" s="28"/>
      <c r="F7" s="30">
        <v>22</v>
      </c>
      <c r="G7" s="30">
        <v>2030</v>
      </c>
      <c r="H7" s="30">
        <v>2031</v>
      </c>
      <c r="I7" s="30">
        <v>2031</v>
      </c>
    </row>
    <row r="8" spans="2:16" x14ac:dyDescent="0.2">
      <c r="B8" s="33" t="s">
        <v>77</v>
      </c>
      <c r="C8" s="29">
        <v>11030</v>
      </c>
      <c r="D8" s="31" t="s">
        <v>78</v>
      </c>
      <c r="F8" s="30">
        <v>23</v>
      </c>
      <c r="G8" s="30">
        <v>2031</v>
      </c>
      <c r="H8" s="30">
        <v>2032</v>
      </c>
      <c r="I8" s="30">
        <v>2032</v>
      </c>
    </row>
    <row r="9" spans="2:16" x14ac:dyDescent="0.2">
      <c r="B9" s="33" t="s">
        <v>79</v>
      </c>
      <c r="C9" s="29">
        <v>7596</v>
      </c>
      <c r="D9" s="31" t="s">
        <v>78</v>
      </c>
      <c r="F9" s="30">
        <v>24</v>
      </c>
      <c r="G9" s="30">
        <v>2032</v>
      </c>
      <c r="H9" s="30">
        <v>2033</v>
      </c>
      <c r="I9" s="30">
        <v>2033</v>
      </c>
    </row>
    <row r="10" spans="2:16" x14ac:dyDescent="0.2">
      <c r="B10" s="308" t="s">
        <v>80</v>
      </c>
      <c r="C10" s="308"/>
      <c r="D10" s="308"/>
      <c r="F10" s="30">
        <v>25</v>
      </c>
      <c r="G10" s="30">
        <v>2033</v>
      </c>
      <c r="H10" s="30">
        <v>2034</v>
      </c>
      <c r="I10" s="30">
        <v>2034</v>
      </c>
    </row>
    <row r="11" spans="2:16" ht="25.5" x14ac:dyDescent="0.2">
      <c r="B11" s="282" t="s">
        <v>81</v>
      </c>
      <c r="C11" s="114" t="s">
        <v>82</v>
      </c>
      <c r="D11" s="282" t="s">
        <v>83</v>
      </c>
      <c r="F11" s="30">
        <v>26</v>
      </c>
      <c r="G11" s="30">
        <v>2034</v>
      </c>
      <c r="H11" s="30">
        <v>2035</v>
      </c>
      <c r="I11" s="30">
        <v>2035</v>
      </c>
    </row>
    <row r="12" spans="2:16" x14ac:dyDescent="0.2">
      <c r="B12" s="34" t="s">
        <v>84</v>
      </c>
      <c r="C12" s="35" t="s">
        <v>85</v>
      </c>
      <c r="D12" s="35" t="s">
        <v>86</v>
      </c>
      <c r="F12" s="30">
        <v>27</v>
      </c>
      <c r="G12" s="30">
        <v>2035</v>
      </c>
      <c r="H12" s="30">
        <v>2036</v>
      </c>
      <c r="I12" s="30">
        <v>2036</v>
      </c>
    </row>
    <row r="13" spans="2:16" x14ac:dyDescent="0.2">
      <c r="B13" s="34" t="s">
        <v>87</v>
      </c>
      <c r="C13" s="35" t="s">
        <v>88</v>
      </c>
      <c r="D13" s="35" t="s">
        <v>89</v>
      </c>
      <c r="F13" s="30">
        <v>28</v>
      </c>
      <c r="G13" s="30">
        <v>2036</v>
      </c>
      <c r="H13" s="30">
        <v>2037</v>
      </c>
      <c r="I13" s="30">
        <v>2037</v>
      </c>
    </row>
    <row r="14" spans="2:16" x14ac:dyDescent="0.2">
      <c r="B14" s="34" t="s">
        <v>90</v>
      </c>
      <c r="C14" s="35" t="s">
        <v>91</v>
      </c>
      <c r="D14" s="35" t="s">
        <v>89</v>
      </c>
      <c r="F14" s="30">
        <v>29</v>
      </c>
      <c r="G14" s="30">
        <v>2037</v>
      </c>
      <c r="H14" s="30">
        <v>2038</v>
      </c>
      <c r="I14" s="30">
        <v>2038</v>
      </c>
    </row>
    <row r="15" spans="2:16" x14ac:dyDescent="0.2">
      <c r="B15" s="34" t="s">
        <v>92</v>
      </c>
      <c r="C15" s="35" t="s">
        <v>93</v>
      </c>
      <c r="D15" s="35" t="s">
        <v>86</v>
      </c>
      <c r="F15" s="30">
        <v>30</v>
      </c>
      <c r="G15" s="30">
        <v>2038</v>
      </c>
      <c r="H15" s="30">
        <v>2039</v>
      </c>
      <c r="I15" s="30">
        <v>2039</v>
      </c>
    </row>
    <row r="16" spans="2:16" x14ac:dyDescent="0.2">
      <c r="B16" s="34" t="s">
        <v>94</v>
      </c>
      <c r="C16" s="35" t="s">
        <v>95</v>
      </c>
      <c r="D16" s="35" t="s">
        <v>86</v>
      </c>
      <c r="F16" s="30">
        <v>31</v>
      </c>
      <c r="G16" s="30">
        <v>2039</v>
      </c>
      <c r="H16" s="30">
        <v>2040</v>
      </c>
      <c r="I16" s="30">
        <v>2040</v>
      </c>
    </row>
    <row r="17" spans="2:9" x14ac:dyDescent="0.2">
      <c r="B17" s="34" t="s">
        <v>96</v>
      </c>
      <c r="C17" s="35" t="s">
        <v>97</v>
      </c>
      <c r="D17" s="35" t="s">
        <v>89</v>
      </c>
      <c r="F17" s="30">
        <v>32</v>
      </c>
      <c r="G17" s="30">
        <v>2040</v>
      </c>
      <c r="H17" s="30">
        <v>2041</v>
      </c>
      <c r="I17" s="30">
        <v>2041</v>
      </c>
    </row>
    <row r="18" spans="2:9" x14ac:dyDescent="0.2">
      <c r="B18" s="34" t="s">
        <v>98</v>
      </c>
      <c r="C18" s="35" t="s">
        <v>66</v>
      </c>
      <c r="D18" s="35" t="s">
        <v>86</v>
      </c>
      <c r="F18" s="30">
        <v>33</v>
      </c>
      <c r="G18" s="30">
        <v>2041</v>
      </c>
      <c r="H18" s="30">
        <v>2042</v>
      </c>
      <c r="I18" s="30">
        <v>2042</v>
      </c>
    </row>
    <row r="19" spans="2:9" x14ac:dyDescent="0.2">
      <c r="B19" s="308" t="s">
        <v>99</v>
      </c>
      <c r="C19" s="308"/>
      <c r="D19" s="115"/>
      <c r="F19" s="30">
        <v>34</v>
      </c>
      <c r="G19" s="30">
        <v>2042</v>
      </c>
      <c r="H19" s="30">
        <v>2043</v>
      </c>
      <c r="I19" s="30">
        <v>2043</v>
      </c>
    </row>
    <row r="20" spans="2:9" x14ac:dyDescent="0.2">
      <c r="B20" s="34" t="s">
        <v>100</v>
      </c>
      <c r="C20" s="35" t="s">
        <v>101</v>
      </c>
      <c r="D20" s="113"/>
      <c r="F20" s="30">
        <v>35</v>
      </c>
      <c r="G20" s="30">
        <v>2043</v>
      </c>
      <c r="H20" s="30">
        <v>2044</v>
      </c>
      <c r="I20" s="30">
        <v>2044</v>
      </c>
    </row>
    <row r="21" spans="2:9" x14ac:dyDescent="0.2">
      <c r="B21" s="34" t="s">
        <v>102</v>
      </c>
      <c r="C21" s="35" t="s">
        <v>101</v>
      </c>
      <c r="D21" s="113"/>
      <c r="F21" s="30">
        <v>36</v>
      </c>
      <c r="G21" s="30">
        <v>2044</v>
      </c>
      <c r="H21" s="30">
        <v>2045</v>
      </c>
      <c r="I21" s="30">
        <v>2045</v>
      </c>
    </row>
    <row r="22" spans="2:9" x14ac:dyDescent="0.2">
      <c r="B22" s="34" t="s">
        <v>103</v>
      </c>
      <c r="C22" s="35" t="s">
        <v>104</v>
      </c>
      <c r="D22" s="113"/>
      <c r="F22" s="30">
        <v>37</v>
      </c>
      <c r="G22" s="30">
        <v>2045</v>
      </c>
      <c r="H22" s="30">
        <v>2046</v>
      </c>
      <c r="I22" s="30">
        <v>2046</v>
      </c>
    </row>
    <row r="23" spans="2:9" x14ac:dyDescent="0.2">
      <c r="B23" s="34" t="s">
        <v>105</v>
      </c>
      <c r="C23" s="35" t="s">
        <v>104</v>
      </c>
      <c r="D23" s="113"/>
      <c r="F23" s="30">
        <v>38</v>
      </c>
      <c r="G23" s="30">
        <v>2046</v>
      </c>
      <c r="H23" s="30">
        <v>2047</v>
      </c>
      <c r="I23" s="30">
        <v>2047</v>
      </c>
    </row>
    <row r="24" spans="2:9" x14ac:dyDescent="0.2">
      <c r="B24" s="34" t="s">
        <v>106</v>
      </c>
      <c r="C24" s="35" t="s">
        <v>107</v>
      </c>
      <c r="D24" s="113"/>
      <c r="F24" s="30">
        <v>39</v>
      </c>
      <c r="G24" s="30">
        <v>2047</v>
      </c>
      <c r="H24" s="30">
        <v>2048</v>
      </c>
      <c r="I24" s="30">
        <v>2048</v>
      </c>
    </row>
    <row r="25" spans="2:9" x14ac:dyDescent="0.2">
      <c r="B25" s="34" t="s">
        <v>108</v>
      </c>
      <c r="C25" s="35" t="s">
        <v>107</v>
      </c>
      <c r="D25" s="113"/>
      <c r="F25" s="30">
        <v>40</v>
      </c>
      <c r="G25" s="30">
        <v>2048</v>
      </c>
      <c r="H25" s="30">
        <v>2049</v>
      </c>
      <c r="I25" s="30">
        <v>2049</v>
      </c>
    </row>
    <row r="26" spans="2:9" x14ac:dyDescent="0.2">
      <c r="B26" s="34" t="s">
        <v>109</v>
      </c>
      <c r="C26" s="35" t="s">
        <v>107</v>
      </c>
      <c r="D26" s="113"/>
      <c r="F26" s="30">
        <v>41</v>
      </c>
      <c r="G26" s="30">
        <v>2049</v>
      </c>
      <c r="H26" s="30">
        <v>2050</v>
      </c>
      <c r="I26" s="30">
        <v>2050</v>
      </c>
    </row>
    <row r="27" spans="2:9" x14ac:dyDescent="0.2">
      <c r="B27" s="34" t="s">
        <v>110</v>
      </c>
      <c r="C27" s="35" t="s">
        <v>107</v>
      </c>
      <c r="D27" s="113"/>
      <c r="F27" s="30">
        <v>42</v>
      </c>
      <c r="G27" s="30">
        <v>2050</v>
      </c>
      <c r="H27" s="30">
        <v>2051</v>
      </c>
      <c r="I27" s="30">
        <v>2051</v>
      </c>
    </row>
    <row r="28" spans="2:9" x14ac:dyDescent="0.2">
      <c r="B28" s="34" t="s">
        <v>111</v>
      </c>
      <c r="C28" s="35" t="s">
        <v>107</v>
      </c>
      <c r="D28" s="113"/>
      <c r="F28" s="30">
        <v>43</v>
      </c>
      <c r="G28" s="30">
        <v>2051</v>
      </c>
      <c r="H28" s="30">
        <v>2052</v>
      </c>
      <c r="I28" s="30">
        <v>2052</v>
      </c>
    </row>
    <row r="29" spans="2:9" x14ac:dyDescent="0.2">
      <c r="B29" s="34" t="s">
        <v>112</v>
      </c>
      <c r="C29" s="35" t="s">
        <v>104</v>
      </c>
      <c r="D29" s="113"/>
      <c r="F29" s="30">
        <v>44</v>
      </c>
      <c r="G29" s="30">
        <v>2052</v>
      </c>
      <c r="H29" s="30">
        <v>2053</v>
      </c>
      <c r="I29" s="30">
        <v>2053</v>
      </c>
    </row>
    <row r="30" spans="2:9" x14ac:dyDescent="0.2">
      <c r="B30" s="34" t="s">
        <v>113</v>
      </c>
      <c r="C30" s="35" t="s">
        <v>104</v>
      </c>
      <c r="D30" s="113"/>
      <c r="F30" s="30">
        <v>45</v>
      </c>
      <c r="G30" s="30">
        <v>2053</v>
      </c>
      <c r="H30" s="30">
        <v>2054</v>
      </c>
      <c r="I30" s="30">
        <v>2054</v>
      </c>
    </row>
    <row r="31" spans="2:9" x14ac:dyDescent="0.2">
      <c r="B31" s="34" t="s">
        <v>114</v>
      </c>
      <c r="C31" s="35" t="s">
        <v>101</v>
      </c>
      <c r="D31" s="113"/>
      <c r="F31" s="30">
        <v>46</v>
      </c>
      <c r="G31" s="30">
        <v>2054</v>
      </c>
      <c r="H31" s="30">
        <v>2055</v>
      </c>
      <c r="I31" s="30">
        <v>2055</v>
      </c>
    </row>
    <row r="32" spans="2:9" x14ac:dyDescent="0.2">
      <c r="B32" s="50"/>
      <c r="C32" s="50"/>
      <c r="D32" s="113"/>
      <c r="F32" s="30">
        <v>47</v>
      </c>
      <c r="G32" s="30">
        <v>2055</v>
      </c>
      <c r="H32" s="30">
        <v>2056</v>
      </c>
      <c r="I32" s="30">
        <v>2056</v>
      </c>
    </row>
    <row r="33" spans="4:4" s="50" customFormat="1" x14ac:dyDescent="0.2">
      <c r="D33" s="112"/>
    </row>
    <row r="34" spans="4:4" s="50" customFormat="1" x14ac:dyDescent="0.2"/>
    <row r="35" spans="4:4" s="50" customFormat="1" x14ac:dyDescent="0.2"/>
    <row r="36" spans="4:4" s="50" customFormat="1" x14ac:dyDescent="0.2"/>
    <row r="37" spans="4:4" s="50" customFormat="1" x14ac:dyDescent="0.2"/>
    <row r="38" spans="4:4" s="50" customFormat="1" x14ac:dyDescent="0.2"/>
    <row r="39" spans="4:4" s="50" customFormat="1" x14ac:dyDescent="0.2"/>
    <row r="40" spans="4:4" s="50" customFormat="1" x14ac:dyDescent="0.2"/>
    <row r="41" spans="4:4" s="50" customFormat="1" x14ac:dyDescent="0.2"/>
    <row r="42" spans="4:4" s="50" customFormat="1" x14ac:dyDescent="0.2"/>
    <row r="43" spans="4:4" s="50" customFormat="1" x14ac:dyDescent="0.2"/>
    <row r="44" spans="4:4" s="50" customFormat="1" x14ac:dyDescent="0.2"/>
    <row r="45" spans="4:4" s="50" customFormat="1" x14ac:dyDescent="0.2"/>
    <row r="46" spans="4:4" s="50" customFormat="1" x14ac:dyDescent="0.2"/>
    <row r="47" spans="4:4" s="50" customFormat="1" x14ac:dyDescent="0.2"/>
    <row r="48" spans="4:4" s="50" customFormat="1" x14ac:dyDescent="0.2"/>
    <row r="49" spans="2:9" s="50" customFormat="1" x14ac:dyDescent="0.2"/>
    <row r="50" spans="2:9" s="50" customFormat="1" x14ac:dyDescent="0.2"/>
    <row r="51" spans="2:9" s="50" customFormat="1" x14ac:dyDescent="0.2"/>
    <row r="52" spans="2:9" s="50" customFormat="1" x14ac:dyDescent="0.2"/>
    <row r="53" spans="2:9" s="50" customFormat="1" x14ac:dyDescent="0.2"/>
    <row r="54" spans="2:9" s="50" customFormat="1" x14ac:dyDescent="0.2"/>
    <row r="55" spans="2:9" s="50" customFormat="1" x14ac:dyDescent="0.2"/>
    <row r="56" spans="2:9" s="50" customFormat="1" x14ac:dyDescent="0.2"/>
    <row r="57" spans="2:9" s="50" customFormat="1" x14ac:dyDescent="0.2"/>
    <row r="58" spans="2:9" s="50" customFormat="1" x14ac:dyDescent="0.2"/>
    <row r="59" spans="2:9" s="50" customFormat="1" x14ac:dyDescent="0.2"/>
    <row r="60" spans="2:9" s="50" customFormat="1" x14ac:dyDescent="0.2"/>
    <row r="61" spans="2:9" x14ac:dyDescent="0.2">
      <c r="B61" s="50"/>
      <c r="C61" s="50"/>
      <c r="D61" s="50"/>
      <c r="F61" s="50"/>
      <c r="G61" s="50"/>
      <c r="H61" s="50"/>
      <c r="I61" s="50"/>
    </row>
    <row r="62" spans="2:9" x14ac:dyDescent="0.2">
      <c r="B62" s="50"/>
      <c r="C62" s="50"/>
      <c r="D62" s="50"/>
      <c r="F62" s="50"/>
      <c r="G62" s="50"/>
      <c r="H62" s="50"/>
      <c r="I62" s="50"/>
    </row>
    <row r="63" spans="2:9" x14ac:dyDescent="0.2">
      <c r="B63" s="50"/>
      <c r="C63" s="50"/>
      <c r="D63" s="50"/>
      <c r="F63" s="50"/>
      <c r="G63" s="50"/>
      <c r="H63" s="50"/>
      <c r="I63" s="50"/>
    </row>
    <row r="64" spans="2:9" x14ac:dyDescent="0.2">
      <c r="B64" s="50"/>
      <c r="C64" s="50"/>
      <c r="D64" s="50"/>
      <c r="F64" s="50"/>
      <c r="G64" s="50"/>
      <c r="H64" s="50"/>
      <c r="I64" s="50"/>
    </row>
    <row r="65" spans="2:9" x14ac:dyDescent="0.2">
      <c r="B65" s="50"/>
      <c r="C65" s="50"/>
      <c r="D65" s="50"/>
      <c r="F65" s="50"/>
      <c r="G65" s="50"/>
      <c r="H65" s="50"/>
      <c r="I65" s="50"/>
    </row>
    <row r="66" spans="2:9" x14ac:dyDescent="0.2">
      <c r="B66" s="50"/>
      <c r="C66" s="50"/>
      <c r="D66" s="50"/>
      <c r="F66" s="50"/>
      <c r="G66" s="50"/>
      <c r="H66" s="50"/>
      <c r="I66" s="50"/>
    </row>
    <row r="67" spans="2:9" x14ac:dyDescent="0.2">
      <c r="B67" s="50"/>
      <c r="C67" s="50"/>
      <c r="D67" s="50"/>
      <c r="F67" s="50"/>
      <c r="G67" s="50"/>
      <c r="H67" s="50"/>
      <c r="I67" s="50"/>
    </row>
    <row r="68" spans="2:9" x14ac:dyDescent="0.2">
      <c r="B68" s="50"/>
      <c r="C68" s="50"/>
      <c r="D68" s="50"/>
      <c r="F68" s="50"/>
      <c r="G68" s="50"/>
      <c r="H68" s="50"/>
      <c r="I68" s="50"/>
    </row>
    <row r="69" spans="2:9" x14ac:dyDescent="0.2">
      <c r="B69" s="50"/>
      <c r="C69" s="50"/>
      <c r="D69" s="50"/>
      <c r="F69" s="50"/>
      <c r="G69" s="50"/>
      <c r="H69" s="50"/>
      <c r="I69" s="50"/>
    </row>
    <row r="70" spans="2:9" x14ac:dyDescent="0.2">
      <c r="B70" s="50"/>
      <c r="C70" s="50"/>
      <c r="D70" s="50"/>
      <c r="F70" s="50"/>
      <c r="G70" s="50"/>
      <c r="H70" s="50"/>
      <c r="I70" s="50"/>
    </row>
    <row r="71" spans="2:9" x14ac:dyDescent="0.2">
      <c r="B71" s="50"/>
      <c r="C71" s="50"/>
      <c r="D71" s="50"/>
      <c r="F71" s="50"/>
      <c r="G71" s="50"/>
      <c r="H71" s="50"/>
      <c r="I71" s="50"/>
    </row>
    <row r="72" spans="2:9" x14ac:dyDescent="0.2">
      <c r="B72" s="50"/>
      <c r="C72" s="50"/>
      <c r="D72" s="50"/>
      <c r="F72" s="50"/>
      <c r="G72" s="50"/>
      <c r="H72" s="50"/>
      <c r="I72" s="50"/>
    </row>
    <row r="73" spans="2:9" x14ac:dyDescent="0.2">
      <c r="B73" s="50"/>
      <c r="C73" s="50"/>
      <c r="D73" s="50"/>
      <c r="F73" s="50"/>
      <c r="G73" s="50"/>
      <c r="H73" s="50"/>
      <c r="I73" s="50"/>
    </row>
    <row r="74" spans="2:9" x14ac:dyDescent="0.2">
      <c r="B74" s="50"/>
      <c r="C74" s="50"/>
      <c r="D74" s="50"/>
      <c r="F74" s="50"/>
      <c r="G74" s="50"/>
      <c r="H74" s="50"/>
      <c r="I74" s="50"/>
    </row>
    <row r="75" spans="2:9" x14ac:dyDescent="0.2">
      <c r="B75" s="50"/>
      <c r="C75" s="50"/>
      <c r="D75" s="50"/>
      <c r="F75" s="50"/>
      <c r="G75" s="50"/>
      <c r="H75" s="50"/>
      <c r="I75" s="50"/>
    </row>
    <row r="76" spans="2:9" x14ac:dyDescent="0.2">
      <c r="B76" s="50"/>
      <c r="C76" s="50"/>
      <c r="D76" s="50"/>
      <c r="F76" s="50"/>
      <c r="G76" s="50"/>
      <c r="H76" s="50"/>
      <c r="I76" s="50"/>
    </row>
    <row r="77" spans="2:9" x14ac:dyDescent="0.2">
      <c r="B77" s="50"/>
      <c r="C77" s="50"/>
      <c r="D77" s="50"/>
      <c r="F77" s="50"/>
      <c r="G77" s="50"/>
      <c r="H77" s="50"/>
      <c r="I77" s="50"/>
    </row>
    <row r="78" spans="2:9" x14ac:dyDescent="0.2">
      <c r="B78" s="50"/>
      <c r="C78" s="50"/>
      <c r="D78" s="50"/>
      <c r="F78" s="50"/>
      <c r="G78" s="50"/>
      <c r="H78" s="50"/>
      <c r="I78" s="50"/>
    </row>
    <row r="79" spans="2:9" x14ac:dyDescent="0.2">
      <c r="B79" s="50"/>
      <c r="C79" s="50"/>
      <c r="D79" s="50"/>
      <c r="F79" s="50"/>
      <c r="G79" s="50"/>
      <c r="H79" s="50"/>
      <c r="I79" s="50"/>
    </row>
    <row r="80" spans="2:9" x14ac:dyDescent="0.2">
      <c r="B80" s="50"/>
      <c r="C80" s="50"/>
      <c r="D80" s="50"/>
      <c r="F80" s="50"/>
      <c r="G80" s="50"/>
      <c r="H80" s="50"/>
      <c r="I80" s="50"/>
    </row>
    <row r="81" spans="2:9" x14ac:dyDescent="0.2">
      <c r="B81" s="50"/>
      <c r="C81" s="50"/>
      <c r="D81" s="50"/>
      <c r="F81" s="50"/>
      <c r="G81" s="50"/>
      <c r="H81" s="50"/>
      <c r="I81" s="50"/>
    </row>
    <row r="82" spans="2:9" x14ac:dyDescent="0.2">
      <c r="B82" s="50"/>
      <c r="C82" s="50"/>
      <c r="D82" s="50"/>
      <c r="F82" s="50"/>
      <c r="G82" s="50"/>
      <c r="H82" s="50"/>
      <c r="I82" s="50"/>
    </row>
    <row r="83" spans="2:9" x14ac:dyDescent="0.2">
      <c r="B83" s="50"/>
      <c r="C83" s="50"/>
      <c r="D83" s="50"/>
      <c r="F83" s="50"/>
      <c r="G83" s="50"/>
      <c r="H83" s="50"/>
      <c r="I83" s="50"/>
    </row>
    <row r="84" spans="2:9" x14ac:dyDescent="0.2">
      <c r="B84" s="50"/>
      <c r="C84" s="50"/>
      <c r="D84" s="50"/>
      <c r="F84" s="50"/>
      <c r="G84" s="50"/>
      <c r="H84" s="50"/>
      <c r="I84" s="50"/>
    </row>
    <row r="85" spans="2:9" x14ac:dyDescent="0.2">
      <c r="B85" s="50"/>
      <c r="C85" s="50"/>
      <c r="D85" s="50"/>
      <c r="F85" s="50"/>
      <c r="G85" s="50"/>
      <c r="H85" s="50"/>
      <c r="I85" s="50"/>
    </row>
    <row r="86" spans="2:9" x14ac:dyDescent="0.2">
      <c r="B86" s="50"/>
      <c r="C86" s="50"/>
      <c r="D86" s="50"/>
      <c r="F86" s="50"/>
      <c r="G86" s="50"/>
      <c r="H86" s="50"/>
      <c r="I86" s="50"/>
    </row>
    <row r="87" spans="2:9" x14ac:dyDescent="0.2">
      <c r="B87" s="50"/>
      <c r="C87" s="50"/>
      <c r="D87" s="50"/>
      <c r="F87" s="50"/>
      <c r="G87" s="50"/>
      <c r="H87" s="50"/>
      <c r="I87" s="50"/>
    </row>
    <row r="88" spans="2:9" x14ac:dyDescent="0.2">
      <c r="B88" s="50"/>
      <c r="C88" s="50"/>
      <c r="D88" s="50"/>
      <c r="F88" s="50"/>
      <c r="G88" s="50"/>
      <c r="H88" s="50"/>
      <c r="I88" s="50"/>
    </row>
    <row r="89" spans="2:9" x14ac:dyDescent="0.2">
      <c r="B89" s="50"/>
      <c r="C89" s="50"/>
      <c r="D89" s="50"/>
      <c r="F89" s="50"/>
      <c r="G89" s="50"/>
      <c r="H89" s="50"/>
      <c r="I89" s="50"/>
    </row>
    <row r="90" spans="2:9" x14ac:dyDescent="0.2">
      <c r="B90" s="50"/>
      <c r="C90" s="50"/>
      <c r="D90" s="50"/>
      <c r="F90" s="50"/>
      <c r="G90" s="50"/>
      <c r="H90" s="50"/>
      <c r="I90" s="50"/>
    </row>
    <row r="91" spans="2:9" x14ac:dyDescent="0.2">
      <c r="B91" s="50"/>
      <c r="C91" s="50"/>
      <c r="D91" s="50"/>
      <c r="F91" s="50"/>
      <c r="G91" s="50"/>
      <c r="H91" s="50"/>
      <c r="I91" s="50"/>
    </row>
    <row r="92" spans="2:9" x14ac:dyDescent="0.2">
      <c r="B92" s="50"/>
      <c r="C92" s="50"/>
      <c r="D92" s="50"/>
      <c r="F92" s="50"/>
      <c r="G92" s="50"/>
      <c r="H92" s="50"/>
      <c r="I92" s="50"/>
    </row>
    <row r="93" spans="2:9" x14ac:dyDescent="0.2">
      <c r="B93" s="50"/>
      <c r="C93" s="50"/>
      <c r="D93" s="50"/>
      <c r="F93" s="50"/>
      <c r="G93" s="50"/>
      <c r="H93" s="50"/>
      <c r="I93" s="50"/>
    </row>
    <row r="94" spans="2:9" x14ac:dyDescent="0.2">
      <c r="B94" s="50"/>
      <c r="C94" s="50"/>
      <c r="D94" s="50"/>
      <c r="F94" s="50"/>
      <c r="G94" s="50"/>
      <c r="H94" s="50"/>
      <c r="I94" s="50"/>
    </row>
    <row r="95" spans="2:9" x14ac:dyDescent="0.2">
      <c r="B95" s="50"/>
      <c r="C95" s="50"/>
      <c r="D95" s="50"/>
      <c r="F95" s="50"/>
      <c r="G95" s="50"/>
      <c r="H95" s="50"/>
      <c r="I95" s="50"/>
    </row>
    <row r="96" spans="2:9" x14ac:dyDescent="0.2">
      <c r="B96" s="50"/>
      <c r="C96" s="50"/>
      <c r="D96" s="50"/>
      <c r="F96" s="50"/>
      <c r="G96" s="50"/>
      <c r="H96" s="50"/>
      <c r="I96" s="50"/>
    </row>
    <row r="97" spans="2:9" x14ac:dyDescent="0.2">
      <c r="B97" s="50"/>
      <c r="C97" s="50"/>
      <c r="D97" s="50"/>
      <c r="F97" s="50"/>
      <c r="G97" s="50"/>
      <c r="H97" s="50"/>
      <c r="I97" s="50"/>
    </row>
    <row r="98" spans="2:9" x14ac:dyDescent="0.2">
      <c r="B98" s="50"/>
      <c r="C98" s="50"/>
      <c r="D98" s="50"/>
      <c r="F98" s="50"/>
      <c r="G98" s="50"/>
      <c r="H98" s="50"/>
      <c r="I98" s="50"/>
    </row>
    <row r="99" spans="2:9" x14ac:dyDescent="0.2">
      <c r="B99" s="50"/>
      <c r="C99" s="50"/>
      <c r="D99" s="50"/>
      <c r="F99" s="50"/>
      <c r="G99" s="50"/>
      <c r="H99" s="50"/>
      <c r="I99" s="50"/>
    </row>
    <row r="100" spans="2:9" x14ac:dyDescent="0.2">
      <c r="B100" s="50"/>
      <c r="C100" s="50"/>
      <c r="D100" s="50"/>
      <c r="F100" s="50"/>
      <c r="G100" s="50"/>
      <c r="H100" s="50"/>
      <c r="I100" s="50"/>
    </row>
    <row r="101" spans="2:9" x14ac:dyDescent="0.2">
      <c r="B101" s="50"/>
      <c r="C101" s="50"/>
      <c r="D101" s="50"/>
      <c r="F101" s="50"/>
      <c r="G101" s="50"/>
      <c r="H101" s="50"/>
      <c r="I101" s="50"/>
    </row>
    <row r="102" spans="2:9" x14ac:dyDescent="0.2">
      <c r="B102" s="50"/>
      <c r="C102" s="50"/>
      <c r="D102" s="50"/>
      <c r="F102" s="50"/>
      <c r="G102" s="50"/>
      <c r="H102" s="50"/>
      <c r="I102" s="50"/>
    </row>
    <row r="103" spans="2:9" x14ac:dyDescent="0.2">
      <c r="B103" s="50"/>
      <c r="C103" s="50"/>
      <c r="D103" s="50"/>
      <c r="F103" s="50"/>
      <c r="G103" s="50"/>
      <c r="H103" s="50"/>
      <c r="I103" s="50"/>
    </row>
    <row r="104" spans="2:9" x14ac:dyDescent="0.2">
      <c r="B104" s="50"/>
      <c r="C104" s="50"/>
      <c r="D104" s="50"/>
      <c r="F104" s="50"/>
      <c r="G104" s="50"/>
      <c r="H104" s="50"/>
      <c r="I104" s="50"/>
    </row>
    <row r="105" spans="2:9" x14ac:dyDescent="0.2">
      <c r="B105" s="50"/>
      <c r="C105" s="50"/>
      <c r="D105" s="50"/>
      <c r="F105" s="50"/>
      <c r="G105" s="50"/>
      <c r="H105" s="50"/>
      <c r="I105" s="50"/>
    </row>
    <row r="106" spans="2:9" x14ac:dyDescent="0.2">
      <c r="B106" s="50"/>
      <c r="C106" s="50"/>
      <c r="D106" s="50"/>
      <c r="F106" s="50"/>
      <c r="G106" s="50"/>
      <c r="H106" s="50"/>
      <c r="I106" s="50"/>
    </row>
    <row r="107" spans="2:9" x14ac:dyDescent="0.2">
      <c r="B107" s="50"/>
      <c r="C107" s="50"/>
      <c r="D107" s="50"/>
      <c r="F107" s="50"/>
      <c r="G107" s="50"/>
      <c r="H107" s="50"/>
      <c r="I107" s="50"/>
    </row>
    <row r="108" spans="2:9" x14ac:dyDescent="0.2">
      <c r="B108" s="50"/>
      <c r="C108" s="50"/>
      <c r="D108" s="50"/>
      <c r="F108" s="50"/>
      <c r="G108" s="50"/>
      <c r="H108" s="50"/>
      <c r="I108" s="50"/>
    </row>
    <row r="109" spans="2:9" x14ac:dyDescent="0.2">
      <c r="B109" s="50"/>
      <c r="C109" s="50"/>
      <c r="D109" s="50"/>
      <c r="F109" s="50"/>
      <c r="G109" s="50"/>
      <c r="H109" s="50"/>
      <c r="I109" s="50"/>
    </row>
    <row r="110" spans="2:9" x14ac:dyDescent="0.2">
      <c r="B110" s="50"/>
      <c r="C110" s="50"/>
      <c r="D110" s="50"/>
      <c r="F110" s="50"/>
      <c r="G110" s="50"/>
      <c r="H110" s="50"/>
      <c r="I110" s="50"/>
    </row>
    <row r="111" spans="2:9" x14ac:dyDescent="0.2">
      <c r="B111" s="50"/>
      <c r="C111" s="50"/>
      <c r="D111" s="50"/>
      <c r="F111" s="50"/>
      <c r="G111" s="50"/>
      <c r="H111" s="50"/>
      <c r="I111" s="50"/>
    </row>
    <row r="112" spans="2:9" x14ac:dyDescent="0.2">
      <c r="B112" s="50"/>
      <c r="C112" s="50"/>
      <c r="D112" s="50"/>
      <c r="F112" s="50"/>
      <c r="G112" s="50"/>
      <c r="H112" s="50"/>
      <c r="I112" s="50"/>
    </row>
    <row r="113" spans="2:9" x14ac:dyDescent="0.2">
      <c r="B113" s="50"/>
      <c r="C113" s="50"/>
      <c r="D113" s="50"/>
      <c r="F113" s="50"/>
      <c r="G113" s="50"/>
      <c r="H113" s="50"/>
      <c r="I113" s="50"/>
    </row>
    <row r="114" spans="2:9" x14ac:dyDescent="0.2">
      <c r="B114" s="50"/>
      <c r="C114" s="50"/>
      <c r="D114" s="50"/>
      <c r="F114" s="50"/>
      <c r="G114" s="50"/>
      <c r="H114" s="50"/>
      <c r="I114" s="50"/>
    </row>
    <row r="115" spans="2:9" x14ac:dyDescent="0.2">
      <c r="B115" s="50"/>
      <c r="C115" s="50"/>
      <c r="D115" s="50"/>
      <c r="F115" s="50"/>
      <c r="G115" s="50"/>
      <c r="H115" s="50"/>
      <c r="I115" s="50"/>
    </row>
    <row r="116" spans="2:9" x14ac:dyDescent="0.2">
      <c r="B116" s="50"/>
      <c r="C116" s="50"/>
      <c r="D116" s="50"/>
      <c r="F116" s="50"/>
      <c r="G116" s="50"/>
      <c r="H116" s="50"/>
      <c r="I116" s="50"/>
    </row>
    <row r="117" spans="2:9" x14ac:dyDescent="0.2">
      <c r="B117" s="50"/>
      <c r="C117" s="50"/>
      <c r="D117" s="50"/>
      <c r="F117" s="50"/>
      <c r="G117" s="50"/>
      <c r="H117" s="50"/>
      <c r="I117" s="50"/>
    </row>
    <row r="118" spans="2:9" x14ac:dyDescent="0.2">
      <c r="B118" s="50"/>
      <c r="C118" s="50"/>
      <c r="D118" s="50"/>
      <c r="F118" s="50"/>
      <c r="G118" s="50"/>
      <c r="H118" s="50"/>
      <c r="I118" s="50"/>
    </row>
    <row r="119" spans="2:9" x14ac:dyDescent="0.2">
      <c r="B119" s="50"/>
      <c r="C119" s="50"/>
      <c r="D119" s="50"/>
      <c r="F119" s="50"/>
      <c r="G119" s="50"/>
      <c r="H119" s="50"/>
      <c r="I119" s="50"/>
    </row>
    <row r="120" spans="2:9" x14ac:dyDescent="0.2">
      <c r="B120" s="50"/>
      <c r="C120" s="50"/>
      <c r="D120" s="50"/>
      <c r="F120" s="50"/>
      <c r="G120" s="50"/>
      <c r="H120" s="50"/>
      <c r="I120" s="50"/>
    </row>
    <row r="121" spans="2:9" x14ac:dyDescent="0.2">
      <c r="B121" s="50"/>
      <c r="C121" s="50"/>
      <c r="D121" s="50"/>
      <c r="F121" s="50"/>
      <c r="G121" s="50"/>
      <c r="H121" s="50"/>
      <c r="I121" s="50"/>
    </row>
    <row r="122" spans="2:9" x14ac:dyDescent="0.2">
      <c r="B122" s="50"/>
      <c r="C122" s="50"/>
      <c r="D122" s="50"/>
      <c r="F122" s="50"/>
      <c r="G122" s="50"/>
      <c r="H122" s="50"/>
      <c r="I122" s="50"/>
    </row>
    <row r="123" spans="2:9" x14ac:dyDescent="0.2">
      <c r="B123" s="50"/>
      <c r="C123" s="50"/>
      <c r="D123" s="50"/>
      <c r="F123" s="50"/>
      <c r="G123" s="50"/>
      <c r="H123" s="50"/>
      <c r="I123" s="50"/>
    </row>
    <row r="124" spans="2:9" x14ac:dyDescent="0.2">
      <c r="B124" s="50"/>
      <c r="C124" s="50"/>
      <c r="D124" s="50"/>
      <c r="F124" s="50"/>
      <c r="G124" s="50"/>
      <c r="H124" s="50"/>
      <c r="I124" s="50"/>
    </row>
    <row r="125" spans="2:9" x14ac:dyDescent="0.2">
      <c r="B125" s="50"/>
      <c r="C125" s="50"/>
      <c r="D125" s="50"/>
      <c r="F125" s="50"/>
      <c r="G125" s="50"/>
      <c r="H125" s="50"/>
      <c r="I125" s="50"/>
    </row>
    <row r="126" spans="2:9" x14ac:dyDescent="0.2">
      <c r="B126" s="50"/>
      <c r="C126" s="50"/>
      <c r="D126" s="50"/>
      <c r="F126" s="50"/>
      <c r="G126" s="50"/>
      <c r="H126" s="50"/>
      <c r="I126" s="50"/>
    </row>
    <row r="127" spans="2:9" x14ac:dyDescent="0.2">
      <c r="B127" s="50"/>
      <c r="C127" s="50"/>
      <c r="D127" s="50"/>
      <c r="F127" s="50"/>
      <c r="G127" s="50"/>
      <c r="H127" s="50"/>
      <c r="I127" s="50"/>
    </row>
    <row r="128" spans="2:9" x14ac:dyDescent="0.2">
      <c r="B128" s="50"/>
      <c r="C128" s="50"/>
      <c r="D128" s="50"/>
      <c r="F128" s="50"/>
      <c r="G128" s="50"/>
      <c r="H128" s="50"/>
      <c r="I128" s="50"/>
    </row>
    <row r="129" spans="2:9" x14ac:dyDescent="0.2">
      <c r="B129" s="50"/>
      <c r="C129" s="50"/>
      <c r="D129" s="50"/>
      <c r="F129" s="50"/>
      <c r="G129" s="50"/>
      <c r="H129" s="50"/>
      <c r="I129" s="50"/>
    </row>
    <row r="130" spans="2:9" x14ac:dyDescent="0.2">
      <c r="B130" s="50"/>
      <c r="C130" s="50"/>
      <c r="D130" s="50"/>
      <c r="F130" s="50"/>
      <c r="G130" s="50"/>
      <c r="H130" s="50"/>
      <c r="I130" s="50"/>
    </row>
    <row r="131" spans="2:9" x14ac:dyDescent="0.2">
      <c r="B131" s="50"/>
      <c r="C131" s="50"/>
      <c r="D131" s="50"/>
      <c r="F131" s="50"/>
      <c r="G131" s="50"/>
      <c r="H131" s="50"/>
      <c r="I131" s="50"/>
    </row>
    <row r="132" spans="2:9" x14ac:dyDescent="0.2">
      <c r="B132" s="50"/>
      <c r="C132" s="50"/>
      <c r="D132" s="50"/>
      <c r="F132" s="50"/>
      <c r="G132" s="50"/>
      <c r="H132" s="50"/>
      <c r="I132" s="50"/>
    </row>
    <row r="133" spans="2:9" x14ac:dyDescent="0.2">
      <c r="B133" s="50"/>
      <c r="C133" s="50"/>
      <c r="D133" s="50"/>
      <c r="F133" s="50"/>
      <c r="G133" s="50"/>
      <c r="H133" s="50"/>
      <c r="I133" s="50"/>
    </row>
    <row r="134" spans="2:9" x14ac:dyDescent="0.2">
      <c r="B134" s="50"/>
      <c r="C134" s="50"/>
      <c r="D134" s="50"/>
      <c r="F134" s="50"/>
      <c r="G134" s="50"/>
      <c r="H134" s="50"/>
      <c r="I134" s="50"/>
    </row>
    <row r="135" spans="2:9" x14ac:dyDescent="0.2">
      <c r="B135" s="50"/>
      <c r="C135" s="50"/>
      <c r="D135" s="50"/>
      <c r="F135" s="50"/>
      <c r="G135" s="50"/>
      <c r="H135" s="50"/>
      <c r="I135" s="50"/>
    </row>
    <row r="136" spans="2:9" x14ac:dyDescent="0.2">
      <c r="B136" s="50"/>
      <c r="C136" s="50"/>
      <c r="D136" s="50"/>
      <c r="F136" s="50"/>
      <c r="G136" s="50"/>
      <c r="H136" s="50"/>
      <c r="I136" s="50"/>
    </row>
    <row r="137" spans="2:9" x14ac:dyDescent="0.2">
      <c r="B137" s="50"/>
      <c r="C137" s="50"/>
      <c r="D137" s="50"/>
      <c r="F137" s="50"/>
      <c r="G137" s="50"/>
      <c r="H137" s="50"/>
      <c r="I137" s="50"/>
    </row>
    <row r="138" spans="2:9" x14ac:dyDescent="0.2">
      <c r="B138" s="50"/>
      <c r="C138" s="50"/>
      <c r="D138" s="50"/>
      <c r="F138" s="50"/>
      <c r="G138" s="50"/>
      <c r="H138" s="50"/>
      <c r="I138" s="50"/>
    </row>
    <row r="139" spans="2:9" x14ac:dyDescent="0.2">
      <c r="B139" s="50"/>
      <c r="C139" s="50"/>
      <c r="D139" s="50"/>
      <c r="F139" s="50"/>
      <c r="G139" s="50"/>
      <c r="H139" s="50"/>
      <c r="I139" s="50"/>
    </row>
    <row r="140" spans="2:9" x14ac:dyDescent="0.2">
      <c r="B140" s="50"/>
      <c r="C140" s="50"/>
      <c r="D140" s="50"/>
      <c r="F140" s="50"/>
      <c r="G140" s="50"/>
      <c r="H140" s="50"/>
      <c r="I140" s="50"/>
    </row>
    <row r="141" spans="2:9" x14ac:dyDescent="0.2">
      <c r="B141" s="50"/>
      <c r="C141" s="50"/>
      <c r="D141" s="50"/>
      <c r="F141" s="50"/>
      <c r="G141" s="50"/>
      <c r="H141" s="50"/>
      <c r="I141" s="50"/>
    </row>
    <row r="142" spans="2:9" x14ac:dyDescent="0.2">
      <c r="B142" s="50"/>
      <c r="C142" s="50"/>
      <c r="D142" s="50"/>
      <c r="F142" s="50"/>
      <c r="G142" s="50"/>
      <c r="H142" s="50"/>
      <c r="I142" s="50"/>
    </row>
    <row r="143" spans="2:9" x14ac:dyDescent="0.2">
      <c r="F143" s="50"/>
      <c r="G143" s="50"/>
      <c r="H143" s="50"/>
      <c r="I143" s="50"/>
    </row>
  </sheetData>
  <mergeCells count="6">
    <mergeCell ref="B19:C19"/>
    <mergeCell ref="K3:N5"/>
    <mergeCell ref="B6:D6"/>
    <mergeCell ref="B1:D1"/>
    <mergeCell ref="F1:I1"/>
    <mergeCell ref="B10:D10"/>
  </mergeCells>
  <dataValidations count="2">
    <dataValidation type="list" allowBlank="1" showInputMessage="1" showErrorMessage="1" sqref="C2" xr:uid="{00000000-0002-0000-0500-000000000000}">
      <formula1>$C$12:$C$18</formula1>
    </dataValidation>
    <dataValidation type="list" allowBlank="1" showInputMessage="1" showErrorMessage="1" sqref="C3" xr:uid="{B5196BFD-42B5-4DC1-A728-11B141F71D3A}">
      <formula1>$F$3:$F$32</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Z210"/>
  <sheetViews>
    <sheetView topLeftCell="D1" zoomScale="80" zoomScaleNormal="80" workbookViewId="0">
      <selection activeCell="O1" sqref="O1"/>
    </sheetView>
  </sheetViews>
  <sheetFormatPr defaultColWidth="9.140625" defaultRowHeight="12.75" x14ac:dyDescent="0.2"/>
  <cols>
    <col min="1" max="1" width="11.140625" style="2" customWidth="1"/>
    <col min="2" max="2" width="10.85546875" style="2" customWidth="1"/>
    <col min="3" max="14" width="12.85546875" style="2" customWidth="1"/>
    <col min="15" max="15" width="13.140625" style="2" customWidth="1"/>
    <col min="16" max="16" width="16.42578125" style="2" customWidth="1"/>
    <col min="17" max="17" width="11.42578125" style="50" bestFit="1" customWidth="1"/>
    <col min="18" max="30" width="12.85546875" style="50" customWidth="1"/>
    <col min="31" max="31" width="9.140625" style="50"/>
    <col min="32" max="32" width="18.85546875" style="50" bestFit="1" customWidth="1"/>
    <col min="33" max="33" width="18.85546875" style="50" customWidth="1"/>
    <col min="34" max="39" width="9.140625" style="50"/>
    <col min="40" max="45" width="12.140625" style="50" customWidth="1"/>
    <col min="46" max="46" width="106.85546875" style="50" bestFit="1" customWidth="1"/>
    <col min="47" max="52" width="9.140625" style="50"/>
    <col min="53" max="16384" width="9.140625" style="2"/>
  </cols>
  <sheetData>
    <row r="1" spans="1:52" ht="31.5" customHeight="1" x14ac:dyDescent="0.2">
      <c r="A1" s="26" t="s">
        <v>115</v>
      </c>
      <c r="B1" s="27" t="s">
        <v>116</v>
      </c>
      <c r="C1" s="50"/>
      <c r="D1" s="187" t="s">
        <v>117</v>
      </c>
      <c r="E1" s="50"/>
      <c r="F1" s="50"/>
      <c r="G1" s="50"/>
      <c r="H1" s="50"/>
      <c r="I1" s="50"/>
      <c r="J1" s="50"/>
      <c r="K1" s="50"/>
      <c r="L1" s="50"/>
      <c r="M1" s="50"/>
      <c r="N1" s="50"/>
      <c r="O1" s="50"/>
      <c r="P1" s="50"/>
    </row>
    <row r="2" spans="1:52" ht="17.25" customHeight="1" x14ac:dyDescent="0.2">
      <c r="A2" s="84"/>
      <c r="B2" s="84"/>
      <c r="C2" s="312"/>
      <c r="D2" s="312"/>
      <c r="E2" s="312"/>
      <c r="F2" s="312"/>
      <c r="G2" s="312"/>
      <c r="H2" s="312"/>
      <c r="I2" s="312"/>
      <c r="J2" s="312"/>
      <c r="K2" s="312"/>
      <c r="L2" s="312"/>
      <c r="M2" s="312"/>
      <c r="N2" s="312"/>
      <c r="O2" s="50"/>
      <c r="P2" s="50"/>
    </row>
    <row r="3" spans="1:52" s="1" customFormat="1" ht="42" customHeight="1" x14ac:dyDescent="0.2">
      <c r="A3" s="51"/>
      <c r="B3" s="51"/>
      <c r="C3" s="313" t="str">
        <f>EDC_NAME&amp;" Zone Summer ($/MWh)"</f>
        <v>West Penn Zone Summer ($/MWh)</v>
      </c>
      <c r="D3" s="313"/>
      <c r="E3" s="313" t="str">
        <f>EDC_NAME&amp;" Zone Winter ($/MWh)"</f>
        <v>West Penn Zone Winter ($/MWh)</v>
      </c>
      <c r="F3" s="313"/>
      <c r="G3" s="313" t="str">
        <f>EDC_NAME&amp;" DLC Zone Shoulder ($/MWh)"</f>
        <v>West Penn DLC Zone Shoulder ($/MWh)</v>
      </c>
      <c r="H3" s="313"/>
      <c r="I3" s="314" t="str">
        <f>EDC_NAME&amp;" Generation Capacity
($/kW/year)"</f>
        <v>West Penn Generation Capacity
($/kW/year)</v>
      </c>
      <c r="J3" s="315"/>
      <c r="K3" s="316" t="str">
        <f>EDC_NAME&amp;" Transmission Capacity
($/kW/year)"</f>
        <v>West Penn Transmission Capacity
($/kW/year)</v>
      </c>
      <c r="L3" s="316"/>
      <c r="M3" s="316" t="str">
        <f>EDC_NAME&amp;" Distribution Capacity
($/kW/year)"</f>
        <v>West Penn Distribution Capacity
($/kW/year)</v>
      </c>
      <c r="N3" s="316"/>
      <c r="O3" s="326" t="s">
        <v>118</v>
      </c>
      <c r="P3" s="51"/>
      <c r="Q3" s="51"/>
      <c r="R3" s="51"/>
      <c r="S3" s="51"/>
      <c r="T3" s="51"/>
      <c r="U3" s="51"/>
      <c r="V3" s="51"/>
      <c r="W3" s="51"/>
      <c r="X3" s="51"/>
      <c r="Y3" s="51"/>
      <c r="Z3" s="51"/>
      <c r="AA3" s="51"/>
      <c r="AB3" s="51"/>
      <c r="AC3" s="51"/>
      <c r="AD3" s="51"/>
      <c r="AE3" s="51"/>
      <c r="AF3" s="84"/>
      <c r="AG3" s="84"/>
      <c r="AH3" s="51"/>
      <c r="AI3" s="51"/>
      <c r="AJ3" s="51"/>
      <c r="AK3" s="51"/>
      <c r="AL3" s="51"/>
      <c r="AM3" s="51"/>
      <c r="AN3" s="51"/>
      <c r="AO3" s="51"/>
      <c r="AP3" s="51"/>
      <c r="AQ3" s="51"/>
      <c r="AR3" s="51"/>
      <c r="AS3" s="51"/>
      <c r="AT3" s="51"/>
      <c r="AU3" s="51"/>
      <c r="AV3" s="51"/>
      <c r="AW3" s="51"/>
      <c r="AX3" s="51"/>
      <c r="AY3" s="51"/>
      <c r="AZ3" s="51"/>
    </row>
    <row r="4" spans="1:52" ht="50.1" customHeight="1" x14ac:dyDescent="0.2">
      <c r="A4" s="116" t="s">
        <v>119</v>
      </c>
      <c r="B4" s="116" t="s">
        <v>120</v>
      </c>
      <c r="C4" s="118" t="s">
        <v>121</v>
      </c>
      <c r="D4" s="118" t="s">
        <v>122</v>
      </c>
      <c r="E4" s="118" t="s">
        <v>123</v>
      </c>
      <c r="F4" s="118" t="s">
        <v>124</v>
      </c>
      <c r="G4" s="118" t="s">
        <v>125</v>
      </c>
      <c r="H4" s="118" t="s">
        <v>126</v>
      </c>
      <c r="I4" s="284" t="s">
        <v>107</v>
      </c>
      <c r="J4" s="284" t="s">
        <v>101</v>
      </c>
      <c r="K4" s="284" t="s">
        <v>107</v>
      </c>
      <c r="L4" s="284" t="s">
        <v>101</v>
      </c>
      <c r="M4" s="284" t="s">
        <v>107</v>
      </c>
      <c r="N4" s="284" t="s">
        <v>101</v>
      </c>
      <c r="O4" s="327"/>
      <c r="P4" s="50"/>
      <c r="Q4" s="51"/>
      <c r="AF4" s="188"/>
      <c r="AG4" s="52"/>
      <c r="AH4" s="52"/>
      <c r="AI4" s="52"/>
      <c r="AJ4" s="52"/>
      <c r="AK4" s="52"/>
      <c r="AL4" s="52"/>
      <c r="AM4" s="52"/>
      <c r="AN4" s="52"/>
      <c r="AO4" s="52"/>
      <c r="AP4" s="52"/>
      <c r="AQ4" s="52"/>
      <c r="AR4" s="52"/>
      <c r="AS4" s="52"/>
      <c r="AT4" s="188"/>
    </row>
    <row r="5" spans="1:52" ht="15" customHeight="1" x14ac:dyDescent="0.2">
      <c r="A5" s="123">
        <v>18</v>
      </c>
      <c r="B5" s="124">
        <f>Start_Year</f>
        <v>2027</v>
      </c>
      <c r="C5" s="119">
        <f ca="1">IFERROR(IF(VALUE(RIGHT($B$1,2))&gt;$A5,0,AVERAGEIFS(Elec_On_Peak, 'Avoided AC'!$D:$D, $B5, 'Avoided AC'!$E:$E, "Summer") +
        INDEX(AEPS!$S$8:$S$37, MATCH($A5, 'General Inputs'!$F$3:$F$32, 0)) +
        OFFSET(DRIPE!$I$10, MATCH('Output (non-LI)'!$B5, DRIPE!$I$11:$I$30, 0), MATCH('Output (non-LI)'!$B$1, DRIPE!$J$10:$N$10, 0), 1, 1)),"Data Missing")</f>
        <v>87.646265044959051</v>
      </c>
      <c r="D5" s="117">
        <f ca="1">IFERROR(IF(VALUE(RIGHT($B$1,2))&gt;$A5,0,AVERAGEIFS(Elec_Off_Peak, 'Avoided AC'!$D:$D, $B5, 'Avoided AC'!$E:$E, "Summer") +
        INDEX(AEPS!$S$8:$S$37, MATCH($A5, 'General Inputs'!$F$3:$F$32, 0)) +
        OFFSET(DRIPE!$I$10, MATCH('Output (non-LI)'!$B5, DRIPE!$I$11:$I$30, 0), MATCH('Output (non-LI)'!$B$1, DRIPE!$J$10:$N$10, 0), 1, 1)),"Data Missing")</f>
        <v>57.862689418295062</v>
      </c>
      <c r="E5" s="117">
        <f ca="1">IFERROR(IF(VALUE(RIGHT($B$1,2))&gt;$A5,0,AVERAGEIFS(Elec_On_Peak, 'Avoided AC'!$D:$D, $B5, 'Avoided AC'!$E:$E, "Winter") +
        INDEX(AEPS!$S$8:$S$37, MATCH($A5, 'General Inputs'!$F$3:$F$32, 0)) +
        OFFSET(DRIPE!$I$10, MATCH('Output (non-LI)'!$B5, DRIPE!$I$11:$I$30, 0), MATCH('Output (non-LI)'!$B$1, DRIPE!$J$10:$N$10, 0), 1, 1)),"Data Missing")</f>
        <v>91.928259820666085</v>
      </c>
      <c r="F5" s="117">
        <f ca="1">IFERROR(IF(VALUE(RIGHT($B$1,2))&gt;$A5,0,AVERAGEIFS(Elec_Off_Peak, 'Avoided AC'!$D:$D, $B5, 'Avoided AC'!$E:$E, "Winter") +
        INDEX(AEPS!$S$8:$S$37, MATCH($A5, 'General Inputs'!$F$3:$F$32, 0)) +
        OFFSET(DRIPE!$I$10, MATCH('Output (non-LI)'!$B5, DRIPE!$I$11:$I$30, 0), MATCH('Output (non-LI)'!$B$1, DRIPE!$J$10:$N$10, 0), 1, 1)),"Data Missing")</f>
        <v>79.95113619581052</v>
      </c>
      <c r="G5" s="117">
        <f ca="1">IFERROR(IF(VALUE(RIGHT($B$1,2))&gt;$A5,0,AVERAGEIFS(Elec_On_Peak, 'Avoided AC'!$D:$D, $B5, 'Avoided AC'!$E:$E, "Shoulder") +
        INDEX(AEPS!$S$8:$S$37, MATCH($A5, 'General Inputs'!$F$3:$F$32, 0)) +
        OFFSET(DRIPE!$I$10, MATCH('Output (non-LI)'!$B5, DRIPE!$I$11:$I$30, 0), MATCH('Output (non-LI)'!$B$1, DRIPE!$J$10:$N$10, 0), 1, 1)),"Data Missing")</f>
        <v>74.122673217963523</v>
      </c>
      <c r="H5" s="117">
        <f ca="1">IFERROR(IF(VALUE(RIGHT($B$1,2))&gt;$A5,0,AVERAGEIFS(Elec_Off_Peak, 'Avoided AC'!$D:$D, $B5, 'Avoided AC'!$E:$E, "Shoulder") +
        INDEX(AEPS!$S$8:$S$37, MATCH($A5, 'General Inputs'!$F$3:$F$32, 0)) +
        OFFSET(DRIPE!$I$10, MATCH('Output (non-LI)'!$B5, DRIPE!$I$11:$I$30, 0), MATCH('Output (non-LI)'!$B$1, DRIPE!$J$10:$N$10, 0), 1, 1)),"Data Missing")</f>
        <v>61.60900214748581</v>
      </c>
      <c r="I5" s="117">
        <f ca="1">(IF(VALUE(RIGHT($B$1,2))&gt;$A5,0,INDEX('Generation Capacity'!$E$27:$K$48,MATCH($A5,'Generation Capacity'!$B$27:$B$48,FALSE),MATCH(EDC_NAME,'Generation Capacity'!$E$26:$K$26,FALSE))+
        OFFSET(DRIPE!$B$35,MATCH('Output (non-LI)'!$B5,DRIPE!$B$11:$B$30,0),MATCH('Output (non-LI)'!$B$1,DRIPE!$C$10:$G$10,0),1,1)))</f>
        <v>72.593525</v>
      </c>
      <c r="J5" s="117">
        <f ca="1">(IF(VALUE(RIGHT($B$1,2))&gt;$A5,0,INDEX('Generation Capacity'!$E$27:$K$48,MATCH($A5,'Generation Capacity'!$B$27:$B$48,FALSE),MATCH(EDC_NAME,'Generation Capacity'!$E$26:$K$26,FALSE))+
        OFFSET(DRIPE!$I$35,MATCH('Output (non-LI)'!$B5,DRIPE!$B$11:$B$30,0),MATCH('Output (non-LI)'!$B$1,DRIPE!$C$10:$G$10,0),1,1)))</f>
        <v>72.593525</v>
      </c>
      <c r="K5" s="117">
        <f>IFERROR(IF(VALUE(RIGHT($B$1,2))&gt;$A5,0,INDEX('T&amp;D Capacity'!$E$4:$K$23,MATCH($A5,'T&amp;D Capacity'!$B$4:$B$23,FALSE),MATCH(EDC_NAME,'T&amp;D Capacity'!$E$3:$K$3,FALSE))),0)</f>
        <v>8.8288765216760154</v>
      </c>
      <c r="L5" s="117">
        <f>IFERROR(IF(VALUE(RIGHT($B$1,2))&gt;$A5,0,INDEX('T&amp;D Capacity'!$E$28:$K$47,MATCH($A5,'T&amp;D Capacity'!$B$28:$B$47,FALSE),MATCH(EDC_NAME,'T&amp;D Capacity'!$E$27:$K$27,FALSE))),0)</f>
        <v>8.8288765216760154</v>
      </c>
      <c r="M5" s="117">
        <f>IFERROR(IF(VALUE(RIGHT($B$1,2))&gt;$A5,0,INDEX('T&amp;D Capacity'!$M$4:$S$23,MATCH($A5,'T&amp;D Capacity'!$B$4:$B$23,FALSE),MATCH(EDC_NAME,'T&amp;D Capacity'!$M$3:$S$3,FALSE))),0)</f>
        <v>41.24516749382019</v>
      </c>
      <c r="N5" s="117">
        <f>IFERROR(IF(VALUE(RIGHT($B$1,2))&gt;$A5,0,INDEX('T&amp;D Capacity'!$M$28:$S$47,MATCH($A5,'T&amp;D Capacity'!$B$28:$B$47,FALSE),MATCH(EDC_NAME,'T&amp;D Capacity'!$M$27:$S$27,FALSE))),0)</f>
        <v>5.0498091280460358</v>
      </c>
      <c r="O5" s="57">
        <f>IFERROR(IF(VALUE(RIGHT($B$1,2))&gt;$A5,0,IFERROR(AVERAGEIF('NG Futures'!$E:$E,$B5,'NG Futures'!$I:$I),"Data Missing")),0)</f>
        <v>3.7537500000000006</v>
      </c>
      <c r="P5" s="317" t="s">
        <v>127</v>
      </c>
      <c r="Q5" s="65"/>
      <c r="AF5" s="63"/>
      <c r="AT5" s="63"/>
    </row>
    <row r="6" spans="1:52" ht="15" customHeight="1" x14ac:dyDescent="0.2">
      <c r="A6" s="124">
        <f>A5+1</f>
        <v>19</v>
      </c>
      <c r="B6" s="124">
        <f>B5+1</f>
        <v>2028</v>
      </c>
      <c r="C6" s="120">
        <f ca="1">IFERROR(IF(VALUE(RIGHT($B$1,2))&gt;$A6,0,AVERAGEIFS(Elec_On_Peak, 'Avoided AC'!$D:$D, $B6, 'Avoided AC'!$E:$E, "Summer") +
        INDEX(AEPS!$S$8:$S$37, MATCH($A6, 'General Inputs'!$F$3:$F$32, 0)) +
        OFFSET(DRIPE!$I$10, MATCH('Output (non-LI)'!$B6, DRIPE!$I$11:$I$30, 0), MATCH('Output (non-LI)'!$B$1, DRIPE!$J$10:$N$10, 0), 1, 1)),"Data Missing")</f>
        <v>97.284747707590299</v>
      </c>
      <c r="D6" s="14">
        <f ca="1">IFERROR(IF(VALUE(RIGHT($B$1,2))&gt;$A6,0,AVERAGEIFS(Elec_Off_Peak, 'Avoided AC'!$D:$D, $B6, 'Avoided AC'!$E:$E, "Summer") +
        INDEX(AEPS!$S$8:$S$37, MATCH($A6, 'General Inputs'!$F$3:$F$32, 0)) +
        OFFSET(DRIPE!$I$10, MATCH('Output (non-LI)'!$B6, DRIPE!$I$11:$I$30, 0), MATCH('Output (non-LI)'!$B$1, DRIPE!$J$10:$N$10, 0), 1, 1)),"Data Missing")</f>
        <v>65.63191001230723</v>
      </c>
      <c r="E6" s="14">
        <f ca="1">IFERROR(IF(VALUE(RIGHT($B$1,2))&gt;$A6,0,AVERAGEIFS(Elec_On_Peak, 'Avoided AC'!$D:$D, $B6, 'Avoided AC'!$E:$E, "Winter") +
        INDEX(AEPS!$S$8:$S$37, MATCH($A6, 'General Inputs'!$F$3:$F$32, 0)) +
        OFFSET(DRIPE!$I$10, MATCH('Output (non-LI)'!$B6, DRIPE!$I$11:$I$30, 0), MATCH('Output (non-LI)'!$B$1, DRIPE!$J$10:$N$10, 0), 1, 1)),"Data Missing")</f>
        <v>104.81025833199377</v>
      </c>
      <c r="F6" s="14">
        <f ca="1">IFERROR(IF(VALUE(RIGHT($B$1,2))&gt;$A6,0,AVERAGEIFS(Elec_Off_Peak, 'Avoided AC'!$D:$D, $B6, 'Avoided AC'!$E:$E, "Winter") +
        INDEX(AEPS!$S$8:$S$37, MATCH($A6, 'General Inputs'!$F$3:$F$32, 0)) +
        OFFSET(DRIPE!$I$10, MATCH('Output (non-LI)'!$B6, DRIPE!$I$11:$I$30, 0), MATCH('Output (non-LI)'!$B$1, DRIPE!$J$10:$N$10, 0), 1, 1)),"Data Missing")</f>
        <v>92.123507440347623</v>
      </c>
      <c r="G6" s="14">
        <f ca="1">IFERROR(IF(VALUE(RIGHT($B$1,2))&gt;$A6,0,AVERAGEIFS(Elec_On_Peak, 'Avoided AC'!$D:$D, $B6, 'Avoided AC'!$E:$E, "Shoulder") +
        INDEX(AEPS!$S$8:$S$37, MATCH($A6, 'General Inputs'!$F$3:$F$32, 0)) +
        OFFSET(DRIPE!$I$10, MATCH('Output (non-LI)'!$B6, DRIPE!$I$11:$I$30, 0), MATCH('Output (non-LI)'!$B$1, DRIPE!$J$10:$N$10, 0), 1, 1)),"Data Missing")</f>
        <v>83.153645708293553</v>
      </c>
      <c r="H6" s="14">
        <f ca="1">IFERROR(IF(VALUE(RIGHT($B$1,2))&gt;$A6,0,AVERAGEIFS(Elec_Off_Peak, 'Avoided AC'!$D:$D, $B6, 'Avoided AC'!$E:$E, "Shoulder") +
        INDEX(AEPS!$S$8:$S$37, MATCH($A6, 'General Inputs'!$F$3:$F$32, 0)) +
        OFFSET(DRIPE!$I$10, MATCH('Output (non-LI)'!$B6, DRIPE!$I$11:$I$30, 0), MATCH('Output (non-LI)'!$B$1, DRIPE!$J$10:$N$10, 0), 1, 1)),"Data Missing")</f>
        <v>70.614012664640569</v>
      </c>
      <c r="I6" s="14">
        <f ca="1">(IF(VALUE(RIGHT($B$1,2))&gt;$A6,0,INDEX('Generation Capacity'!$E$27:$K$48,MATCH($A6,'Generation Capacity'!$B$27:$B$48,FALSE),MATCH(EDC_NAME,'Generation Capacity'!$E$26:$K$26,FALSE))+
        OFFSET(DRIPE!$B$35,MATCH('Output (non-LI)'!$B6,DRIPE!$B$11:$B$30,0),MATCH('Output (non-LI)'!$B$1,DRIPE!$C$10:$G$10,0),1,1)))</f>
        <v>38.763109999999998</v>
      </c>
      <c r="J6" s="14">
        <f ca="1">(IF(VALUE(RIGHT($B$1,2))&gt;$A6,0,INDEX('Generation Capacity'!$E$27:$K$48,MATCH($A6,'Generation Capacity'!$B$27:$B$48,FALSE),MATCH(EDC_NAME,'Generation Capacity'!$E$26:$K$26,FALSE))+
        OFFSET(DRIPE!$I$35,MATCH('Output (non-LI)'!$B6,DRIPE!$B$11:$B$30,0),MATCH('Output (non-LI)'!$B$1,DRIPE!$C$10:$G$10,0),1,1)))</f>
        <v>38.763109999999998</v>
      </c>
      <c r="K6" s="14">
        <f ca="1">IFERROR(IF(VALUE(RIGHT($B$1,2))&gt;$A6,0,INDEX('T&amp;D Capacity'!$E$4:$K$23,MATCH($A6,'T&amp;D Capacity'!$B$4:$B$23,FALSE),MATCH(EDC_NAME,'T&amp;D Capacity'!$E$3:$K$3,FALSE))),0)</f>
        <v>9.0117705278222537</v>
      </c>
      <c r="L6" s="14">
        <f ca="1">IFERROR(IF(VALUE(RIGHT($B$1,2))&gt;$A6,0,INDEX('T&amp;D Capacity'!$E$28:$K$47,MATCH($A6,'T&amp;D Capacity'!$B$28:$B$47,FALSE),MATCH(EDC_NAME,'T&amp;D Capacity'!$E$27:$K$27,FALSE))),0)</f>
        <v>9.0117705278222537</v>
      </c>
      <c r="M6" s="14">
        <f>IFERROR(IF(VALUE(RIGHT($B$1,2))&gt;$A6,0,INDEX('T&amp;D Capacity'!$M$4:$S$23,MATCH($A6,'T&amp;D Capacity'!$B$4:$B$23,FALSE),MATCH(EDC_NAME,'T&amp;D Capacity'!$M$3:$S$3,FALSE))),0)</f>
        <v>46.265887528657913</v>
      </c>
      <c r="N6" s="14">
        <f>IFERROR(IF(VALUE(RIGHT($B$1,2))&gt;$A6,0,INDEX('T&amp;D Capacity'!$M$28:$S$47,MATCH($A6,'T&amp;D Capacity'!$B$28:$B$47,FALSE),MATCH(EDC_NAME,'T&amp;D Capacity'!$M$27:$S$27,FALSE))),0)</f>
        <v>6.0599454417824745</v>
      </c>
      <c r="O6" s="57">
        <f>IFERROR(IF(VALUE(RIGHT($B$1,2))&gt;$A6,0,IFERROR(AVERAGEIF('NG Futures'!$E:$E,$B6,'NG Futures'!$I:$I),"Data Missing")),0)</f>
        <v>3.6780000000000008</v>
      </c>
      <c r="P6" s="318"/>
      <c r="Q6" s="65"/>
    </row>
    <row r="7" spans="1:52" ht="15" customHeight="1" x14ac:dyDescent="0.2">
      <c r="A7" s="124">
        <f t="shared" ref="A7:B22" si="0">A6+1</f>
        <v>20</v>
      </c>
      <c r="B7" s="124">
        <f t="shared" si="0"/>
        <v>2029</v>
      </c>
      <c r="C7" s="120">
        <f ca="1">IFERROR(IF(VALUE(RIGHT($B$1,2))&gt;$A7,0,AVERAGEIFS(Elec_On_Peak, 'Avoided AC'!$D:$D, $B7, 'Avoided AC'!$E:$E, "Summer") +
        INDEX(AEPS!$S$8:$S$37, MATCH($A7, 'General Inputs'!$F$3:$F$32, 0)) +
        OFFSET(DRIPE!$I$10, MATCH('Output (non-LI)'!$B7, DRIPE!$I$11:$I$30, 0), MATCH('Output (non-LI)'!$B$1, DRIPE!$J$10:$N$10, 0), 1, 1)),"Data Missing")</f>
        <v>104.35404223977996</v>
      </c>
      <c r="D7" s="14">
        <f ca="1">IFERROR(IF(VALUE(RIGHT($B$1,2))&gt;$A7,0,AVERAGEIFS(Elec_Off_Peak, 'Avoided AC'!$D:$D, $B7, 'Avoided AC'!$E:$E, "Summer") +
        INDEX(AEPS!$S$8:$S$37, MATCH($A7, 'General Inputs'!$F$3:$F$32, 0)) +
        OFFSET(DRIPE!$I$10, MATCH('Output (non-LI)'!$B7, DRIPE!$I$11:$I$30, 0), MATCH('Output (non-LI)'!$B$1, DRIPE!$J$10:$N$10, 0), 1, 1)),"Data Missing")</f>
        <v>73.573526843185803</v>
      </c>
      <c r="E7" s="14">
        <f ca="1">IFERROR(IF(VALUE(RIGHT($B$1,2))&gt;$A7,0,AVERAGEIFS(Elec_On_Peak, 'Avoided AC'!$D:$D, $B7, 'Avoided AC'!$E:$E, "Winter") +
        INDEX(AEPS!$S$8:$S$37, MATCH($A7, 'General Inputs'!$F$3:$F$32, 0)) +
        OFFSET(DRIPE!$I$10, MATCH('Output (non-LI)'!$B7, DRIPE!$I$11:$I$30, 0), MATCH('Output (non-LI)'!$B$1, DRIPE!$J$10:$N$10, 0), 1, 1)),"Data Missing")</f>
        <v>113.31265378345807</v>
      </c>
      <c r="F7" s="14">
        <f ca="1">IFERROR(IF(VALUE(RIGHT($B$1,2))&gt;$A7,0,AVERAGEIFS(Elec_Off_Peak, 'Avoided AC'!$D:$D, $B7, 'Avoided AC'!$E:$E, "Winter") +
        INDEX(AEPS!$S$8:$S$37, MATCH($A7, 'General Inputs'!$F$3:$F$32, 0)) +
        OFFSET(DRIPE!$I$10, MATCH('Output (non-LI)'!$B7, DRIPE!$I$11:$I$30, 0), MATCH('Output (non-LI)'!$B$1, DRIPE!$J$10:$N$10, 0), 1, 1)),"Data Missing")</f>
        <v>99.812427732320288</v>
      </c>
      <c r="G7" s="14">
        <f ca="1">IFERROR(IF(VALUE(RIGHT($B$1,2))&gt;$A7,0,AVERAGEIFS(Elec_On_Peak, 'Avoided AC'!$D:$D, $B7, 'Avoided AC'!$E:$E, "Shoulder") +
        INDEX(AEPS!$S$8:$S$37, MATCH($A7, 'General Inputs'!$F$3:$F$32, 0)) +
        OFFSET(DRIPE!$I$10, MATCH('Output (non-LI)'!$B7, DRIPE!$I$11:$I$30, 0), MATCH('Output (non-LI)'!$B$1, DRIPE!$J$10:$N$10, 0), 1, 1)),"Data Missing")</f>
        <v>89.760817117963526</v>
      </c>
      <c r="H7" s="14">
        <f ca="1">IFERROR(IF(VALUE(RIGHT($B$1,2))&gt;$A7,0,AVERAGEIFS(Elec_Off_Peak, 'Avoided AC'!$D:$D, $B7, 'Avoided AC'!$E:$E, "Shoulder") +
        INDEX(AEPS!$S$8:$S$37, MATCH($A7, 'General Inputs'!$F$3:$F$32, 0)) +
        OFFSET(DRIPE!$I$10, MATCH('Output (non-LI)'!$B7, DRIPE!$I$11:$I$30, 0), MATCH('Output (non-LI)'!$B$1, DRIPE!$J$10:$N$10, 0), 1, 1)),"Data Missing")</f>
        <v>76.182705147299941</v>
      </c>
      <c r="I7" s="14">
        <f ca="1">(IF(VALUE(RIGHT($B$1,2))&gt;$A7,0,INDEX('Generation Capacity'!$E$27:$K$48,MATCH($A7,'Generation Capacity'!$B$27:$B$48,FALSE),MATCH(EDC_NAME,'Generation Capacity'!$E$26:$K$26,FALSE))+
        OFFSET(DRIPE!$B$35,MATCH('Output (non-LI)'!$B7,DRIPE!$B$11:$B$30,0),MATCH('Output (non-LI)'!$B$1,DRIPE!$C$10:$G$10,0),1,1)))</f>
        <v>39.556568546614422</v>
      </c>
      <c r="J7" s="14">
        <f ca="1">(IF(VALUE(RIGHT($B$1,2))&gt;$A7,0,INDEX('Generation Capacity'!$E$27:$K$48,MATCH($A7,'Generation Capacity'!$B$27:$B$48,FALSE),MATCH(EDC_NAME,'Generation Capacity'!$E$26:$K$26,FALSE))+
        OFFSET(DRIPE!$I$35,MATCH('Output (non-LI)'!$B7,DRIPE!$B$11:$B$30,0),MATCH('Output (non-LI)'!$B$1,DRIPE!$C$10:$G$10,0),1,1)))</f>
        <v>39.556568546614422</v>
      </c>
      <c r="K7" s="14">
        <f ca="1">IFERROR(IF(VALUE(RIGHT($B$1,2))&gt;$A7,0,INDEX('T&amp;D Capacity'!$E$4:$K$23,MATCH($A7,'T&amp;D Capacity'!$B$4:$B$23,FALSE),MATCH(EDC_NAME,'T&amp;D Capacity'!$E$3:$K$3,FALSE))),0)</f>
        <v>9.1984532626252022</v>
      </c>
      <c r="L7" s="14">
        <f ca="1">IFERROR(IF(VALUE(RIGHT($B$1,2))&gt;$A7,0,INDEX('T&amp;D Capacity'!$E$28:$K$47,MATCH($A7,'T&amp;D Capacity'!$B$28:$B$47,FALSE),MATCH(EDC_NAME,'T&amp;D Capacity'!$E$27:$K$27,FALSE))),0)</f>
        <v>9.1984532626252022</v>
      </c>
      <c r="M7" s="14">
        <f>IFERROR(IF(VALUE(RIGHT($B$1,2))&gt;$A7,0,INDEX('T&amp;D Capacity'!$M$4:$S$23,MATCH($A7,'T&amp;D Capacity'!$B$4:$B$23,FALSE),MATCH(EDC_NAME,'T&amp;D Capacity'!$M$3:$S$3,FALSE))),0)</f>
        <v>51.885319620370865</v>
      </c>
      <c r="N7" s="14">
        <f>IFERROR(IF(VALUE(RIGHT($B$1,2))&gt;$A7,0,INDEX('T&amp;D Capacity'!$M$28:$S$47,MATCH($A7,'T&amp;D Capacity'!$B$28:$B$47,FALSE),MATCH(EDC_NAME,'T&amp;D Capacity'!$M$27:$S$27,FALSE))),0)</f>
        <v>7.0145137757062912</v>
      </c>
      <c r="O7" s="57">
        <f>IFERROR(IF(VALUE(RIGHT($B$1,2))&gt;$A7,0,IFERROR(AVERAGEIF('NG Futures'!$E:$E,$B7,'NG Futures'!$I:$I),"Data Missing")),0)</f>
        <v>3.5623333333333331</v>
      </c>
      <c r="P7" s="318"/>
      <c r="Q7" s="65"/>
    </row>
    <row r="8" spans="1:52" ht="15" customHeight="1" x14ac:dyDescent="0.2">
      <c r="A8" s="124">
        <f t="shared" si="0"/>
        <v>21</v>
      </c>
      <c r="B8" s="124">
        <f t="shared" si="0"/>
        <v>2030</v>
      </c>
      <c r="C8" s="120">
        <f ca="1">IFERROR(IF(VALUE(RIGHT($B$1,2))&gt;$A8,0,AVERAGEIFS(Elec_On_Peak, 'Avoided AC'!$D:$D, $B8, 'Avoided AC'!$E:$E, "Summer") +
        INDEX(AEPS!$S$8:$S$37, MATCH($A8, 'General Inputs'!$F$3:$F$32, 0)) +
        OFFSET(DRIPE!$I$10, MATCH('Output (non-LI)'!$B8, DRIPE!$I$11:$I$30, 0), MATCH('Output (non-LI)'!$B$1, DRIPE!$J$10:$N$10, 0), 1, 1)),"Data Missing")</f>
        <v>102.07997103755693</v>
      </c>
      <c r="D8" s="14">
        <f ca="1">IFERROR(IF(VALUE(RIGHT($B$1,2))&gt;$A8,0,AVERAGEIFS(Elec_Off_Peak, 'Avoided AC'!$D:$D, $B8, 'Avoided AC'!$E:$E, "Summer") +
        INDEX(AEPS!$S$8:$S$37, MATCH($A8, 'General Inputs'!$F$3:$F$32, 0)) +
        OFFSET(DRIPE!$I$10, MATCH('Output (non-LI)'!$B8, DRIPE!$I$11:$I$30, 0), MATCH('Output (non-LI)'!$B$1, DRIPE!$J$10:$N$10, 0), 1, 1)),"Data Missing")</f>
        <v>73.27256560228291</v>
      </c>
      <c r="E8" s="14">
        <f ca="1">IFERROR(IF(VALUE(RIGHT($B$1,2))&gt;$A8,0,AVERAGEIFS(Elec_On_Peak, 'Avoided AC'!$D:$D, $B8, 'Avoided AC'!$E:$E, "Winter") +
        INDEX(AEPS!$S$8:$S$37, MATCH($A8, 'General Inputs'!$F$3:$F$32, 0)) +
        OFFSET(DRIPE!$I$10, MATCH('Output (non-LI)'!$B8, DRIPE!$I$11:$I$30, 0), MATCH('Output (non-LI)'!$B$1, DRIPE!$J$10:$N$10, 0), 1, 1)),"Data Missing")</f>
        <v>113.90824601620766</v>
      </c>
      <c r="F8" s="14">
        <f ca="1">IFERROR(IF(VALUE(RIGHT($B$1,2))&gt;$A8,0,AVERAGEIFS(Elec_Off_Peak, 'Avoided AC'!$D:$D, $B8, 'Avoided AC'!$E:$E, "Winter") +
        INDEX(AEPS!$S$8:$S$37, MATCH($A8, 'General Inputs'!$F$3:$F$32, 0)) +
        OFFSET(DRIPE!$I$10, MATCH('Output (non-LI)'!$B8, DRIPE!$I$11:$I$30, 0), MATCH('Output (non-LI)'!$B$1, DRIPE!$J$10:$N$10, 0), 1, 1)),"Data Missing")</f>
        <v>99.733008662512987</v>
      </c>
      <c r="G8" s="14">
        <f ca="1">IFERROR(IF(VALUE(RIGHT($B$1,2))&gt;$A8,0,AVERAGEIFS(Elec_On_Peak, 'Avoided AC'!$D:$D, $B8, 'Avoided AC'!$E:$E, "Shoulder") +
        INDEX(AEPS!$S$8:$S$37, MATCH($A8, 'General Inputs'!$F$3:$F$32, 0)) +
        OFFSET(DRIPE!$I$10, MATCH('Output (non-LI)'!$B8, DRIPE!$I$11:$I$30, 0), MATCH('Output (non-LI)'!$B$1, DRIPE!$J$10:$N$10, 0), 1, 1)),"Data Missing")</f>
        <v>91.230462447613689</v>
      </c>
      <c r="H8" s="14">
        <f ca="1">IFERROR(IF(VALUE(RIGHT($B$1,2))&gt;$A8,0,AVERAGEIFS(Elec_Off_Peak, 'Avoided AC'!$D:$D, $B8, 'Avoided AC'!$E:$E, "Shoulder") +
        INDEX(AEPS!$S$8:$S$37, MATCH($A8, 'General Inputs'!$F$3:$F$32, 0)) +
        OFFSET(DRIPE!$I$10, MATCH('Output (non-LI)'!$B8, DRIPE!$I$11:$I$30, 0), MATCH('Output (non-LI)'!$B$1, DRIPE!$J$10:$N$10, 0), 1, 1)),"Data Missing")</f>
        <v>76.289346885248705</v>
      </c>
      <c r="I8" s="14">
        <f ca="1">(IF(VALUE(RIGHT($B$1,2))&gt;$A8,0,INDEX('Generation Capacity'!$E$27:$K$48,MATCH($A8,'Generation Capacity'!$B$27:$B$48,FALSE),MATCH(EDC_NAME,'Generation Capacity'!$E$26:$K$26,FALSE))+
        OFFSET(DRIPE!$B$35,MATCH('Output (non-LI)'!$B8,DRIPE!$B$11:$B$30,0),MATCH('Output (non-LI)'!$B$1,DRIPE!$C$10:$G$10,0),1,1)))</f>
        <v>40.366181495546314</v>
      </c>
      <c r="J8" s="14">
        <f ca="1">(IF(VALUE(RIGHT($B$1,2))&gt;$A8,0,INDEX('Generation Capacity'!$E$27:$K$48,MATCH($A8,'Generation Capacity'!$B$27:$B$48,FALSE),MATCH(EDC_NAME,'Generation Capacity'!$E$26:$K$26,FALSE))+
        OFFSET(DRIPE!$I$35,MATCH('Output (non-LI)'!$B8,DRIPE!$B$11:$B$30,0),MATCH('Output (non-LI)'!$B$1,DRIPE!$C$10:$G$10,0),1,1)))</f>
        <v>40.366181495546314</v>
      </c>
      <c r="K8" s="14">
        <f ca="1">IFERROR(IF(VALUE(RIGHT($B$1,2))&gt;$A8,0,INDEX('T&amp;D Capacity'!$E$4:$K$23,MATCH($A8,'T&amp;D Capacity'!$B$4:$B$23,FALSE),MATCH(EDC_NAME,'T&amp;D Capacity'!$E$3:$K$3,FALSE))),0)</f>
        <v>9.3890032112421178</v>
      </c>
      <c r="L8" s="14">
        <f ca="1">IFERROR(IF(VALUE(RIGHT($B$1,2))&gt;$A8,0,INDEX('T&amp;D Capacity'!$E$28:$K$47,MATCH($A8,'T&amp;D Capacity'!$B$28:$B$47,FALSE),MATCH(EDC_NAME,'T&amp;D Capacity'!$E$27:$K$27,FALSE))),0)</f>
        <v>9.3890032112421178</v>
      </c>
      <c r="M8" s="14">
        <f>IFERROR(IF(VALUE(RIGHT($B$1,2))&gt;$A8,0,INDEX('T&amp;D Capacity'!$M$4:$S$23,MATCH($A8,'T&amp;D Capacity'!$B$4:$B$23,FALSE),MATCH(EDC_NAME,'T&amp;D Capacity'!$M$3:$S$3,FALSE))),0)</f>
        <v>56.91817232966423</v>
      </c>
      <c r="N8" s="14">
        <f>IFERROR(IF(VALUE(RIGHT($B$1,2))&gt;$A8,0,INDEX('T&amp;D Capacity'!$M$28:$S$47,MATCH($A8,'T&amp;D Capacity'!$B$28:$B$47,FALSE),MATCH(EDC_NAME,'T&amp;D Capacity'!$M$27:$S$27,FALSE))),0)</f>
        <v>7.9289728403091431</v>
      </c>
      <c r="O8" s="57">
        <f>IFERROR(IF(VALUE(RIGHT($B$1,2))&gt;$A8,0,IFERROR(AVERAGEIF('NG Futures'!$E:$E,$B8,'NG Futures'!$I:$I),"Data Missing")),0)</f>
        <v>3.4177733333333329</v>
      </c>
      <c r="P8" s="319"/>
      <c r="Q8" s="65"/>
    </row>
    <row r="9" spans="1:52" ht="15" customHeight="1" x14ac:dyDescent="0.2">
      <c r="A9" s="124">
        <f t="shared" si="0"/>
        <v>22</v>
      </c>
      <c r="B9" s="124">
        <f t="shared" si="0"/>
        <v>2031</v>
      </c>
      <c r="C9" s="121">
        <f ca="1">IFERROR(IF(VALUE(RIGHT($B$1,2))&gt;$A9,0,AVERAGEIFS(Elec_On_Peak, 'Avoided AC'!$D:$D, $B9, 'Avoided AC'!$E:$E, "Summer") +
        INDEX(AEPS!$S$8:$S$37, MATCH($A9, 'General Inputs'!$F$3:$F$32, 0)) +
        OFFSET(DRIPE!$I$10, MATCH('Output (non-LI)'!$B9, DRIPE!$I$11:$I$30, 0), MATCH('Output (non-LI)'!$B$1, DRIPE!$J$10:$N$10, 0), 1, 1)),"Data Missing")</f>
        <v>73.853785044523434</v>
      </c>
      <c r="D9" s="15">
        <f ca="1">IFERROR(IF(VALUE(RIGHT($B$1,2))&gt;$A9,0,AVERAGEIFS(Elec_Off_Peak, 'Avoided AC'!$D:$D, $B9, 'Avoided AC'!$E:$E, "Summer") +
        INDEX(AEPS!$S$8:$S$37, MATCH($A9, 'General Inputs'!$F$3:$F$32, 0)) +
        OFFSET(DRIPE!$I$10, MATCH('Output (non-LI)'!$B9, DRIPE!$I$11:$I$30, 0), MATCH('Output (non-LI)'!$B$1, DRIPE!$J$10:$N$10, 0), 1, 1)),"Data Missing")</f>
        <v>43.907852442793398</v>
      </c>
      <c r="E9" s="15">
        <f ca="1">IFERROR(IF(VALUE(RIGHT($B$1,2))&gt;$A9,0,AVERAGEIFS(Elec_On_Peak, 'Avoided AC'!$D:$D, $B9, 'Avoided AC'!$E:$E, "Winter") +
        INDEX(AEPS!$S$8:$S$37, MATCH($A9, 'General Inputs'!$F$3:$F$32, 0)) +
        OFFSET(DRIPE!$I$10, MATCH('Output (non-LI)'!$B9, DRIPE!$I$11:$I$30, 0), MATCH('Output (non-LI)'!$B$1, DRIPE!$J$10:$N$10, 0), 1, 1)),"Data Missing")</f>
        <v>81.169224867822734</v>
      </c>
      <c r="F9" s="15">
        <f ca="1">IFERROR(IF(VALUE(RIGHT($B$1,2))&gt;$A9,0,AVERAGEIFS(Elec_Off_Peak, 'Avoided AC'!$D:$D, $B9, 'Avoided AC'!$E:$E, "Winter") +
        INDEX(AEPS!$S$8:$S$37, MATCH($A9, 'General Inputs'!$F$3:$F$32, 0)) +
        OFFSET(DRIPE!$I$10, MATCH('Output (non-LI)'!$B9, DRIPE!$I$11:$I$30, 0), MATCH('Output (non-LI)'!$B$1, DRIPE!$J$10:$N$10, 0), 1, 1)),"Data Missing")</f>
        <v>69.062194104912635</v>
      </c>
      <c r="G9" s="15">
        <f ca="1">IFERROR(IF(VALUE(RIGHT($B$1,2))&gt;$A9,0,AVERAGEIFS(Elec_On_Peak, 'Avoided AC'!$D:$D, $B9, 'Avoided AC'!$E:$E, "Shoulder") +
        INDEX(AEPS!$S$8:$S$37, MATCH($A9, 'General Inputs'!$F$3:$F$32, 0)) +
        OFFSET(DRIPE!$I$10, MATCH('Output (non-LI)'!$B9, DRIPE!$I$11:$I$30, 0), MATCH('Output (non-LI)'!$B$1, DRIPE!$J$10:$N$10, 0), 1, 1)),"Data Missing")</f>
        <v>59.837600195495931</v>
      </c>
      <c r="H9" s="15">
        <f ca="1">IFERROR(IF(VALUE(RIGHT($B$1,2))&gt;$A9,0,AVERAGEIFS(Elec_Off_Peak, 'Avoided AC'!$D:$D, $B9, 'Avoided AC'!$E:$E, "Shoulder") +
        INDEX(AEPS!$S$8:$S$37, MATCH($A9, 'General Inputs'!$F$3:$F$32, 0)) +
        OFFSET(DRIPE!$I$10, MATCH('Output (non-LI)'!$B9, DRIPE!$I$11:$I$30, 0), MATCH('Output (non-LI)'!$B$1, DRIPE!$J$10:$N$10, 0), 1, 1)),"Data Missing")</f>
        <v>47.249285342789619</v>
      </c>
      <c r="I9" s="15">
        <f ca="1">(IF(VALUE(RIGHT($B$1,2))&gt;$A9,0,INDEX('Generation Capacity'!$E$27:$K$48,MATCH($A9,'Generation Capacity'!$B$27:$B$48,FALSE),MATCH(EDC_NAME,'Generation Capacity'!$E$26:$K$26,FALSE))+
        OFFSET(DRIPE!$B$35,MATCH('Output (non-LI)'!$B9,DRIPE!$B$11:$B$30,0),MATCH('Output (non-LI)'!$B$1,DRIPE!$C$10:$G$10,0),1,1)))</f>
        <v>27.642179915077225</v>
      </c>
      <c r="J9" s="15">
        <f ca="1">(IF(VALUE(RIGHT($B$1,2))&gt;$A9,0,INDEX('Generation Capacity'!$E$27:$K$48,MATCH($A9,'Generation Capacity'!$B$27:$B$48,FALSE),MATCH(EDC_NAME,'Generation Capacity'!$E$26:$K$26,FALSE))+
        OFFSET(DRIPE!$I$35,MATCH('Output (non-LI)'!$B9,DRIPE!$B$11:$B$30,0),MATCH('Output (non-LI)'!$B$1,DRIPE!$C$10:$G$10,0),1,1)))</f>
        <v>27.642179915077225</v>
      </c>
      <c r="K9" s="15">
        <f ca="1">IFERROR(IF(VALUE(RIGHT($B$1,2))&gt;$A9,0,INDEX('T&amp;D Capacity'!$E$4:$K$23,MATCH($A9,'T&amp;D Capacity'!$B$4:$B$23,FALSE),MATCH(EDC_NAME,'T&amp;D Capacity'!$E$3:$K$3,FALSE))),0)</f>
        <v>9.5835004846843326</v>
      </c>
      <c r="L9" s="15">
        <f ca="1">IFERROR(IF(VALUE(RIGHT($B$1,2))&gt;$A9,0,INDEX('T&amp;D Capacity'!$E$28:$K$47,MATCH($A9,'T&amp;D Capacity'!$B$28:$B$47,FALSE),MATCH(EDC_NAME,'T&amp;D Capacity'!$E$27:$K$27,FALSE))),0)</f>
        <v>9.5835004846843326</v>
      </c>
      <c r="M9" s="15">
        <f>IFERROR(IF(VALUE(RIGHT($B$1,2))&gt;$A9,0,INDEX('T&amp;D Capacity'!$M$4:$S$23,MATCH($A9,'T&amp;D Capacity'!$B$4:$B$23,FALSE),MATCH(EDC_NAME,'T&amp;D Capacity'!$M$3:$S$3,FALSE))),0)</f>
        <v>62.194589674472809</v>
      </c>
      <c r="N9" s="15">
        <f>IFERROR(IF(VALUE(RIGHT($B$1,2))&gt;$A9,0,INDEX('T&amp;D Capacity'!$M$28:$S$47,MATCH($A9,'T&amp;D Capacity'!$B$28:$B$47,FALSE),MATCH(EDC_NAME,'T&amp;D Capacity'!$M$27:$S$27,FALSE))),0)</f>
        <v>9.0186463743448257</v>
      </c>
      <c r="O9" s="16">
        <f>IFERROR(IF(VALUE(RIGHT($B$1,2))&gt;$A9,0,IFERROR(AVERAGEIF('NG Futures'!$E:$E,$B9,'NG Futures'!$I:$I),"Data Missing")),0)</f>
        <v>3.3679469428694606</v>
      </c>
      <c r="P9" s="320" t="s">
        <v>128</v>
      </c>
      <c r="Q9" s="65"/>
    </row>
    <row r="10" spans="1:52" ht="15" customHeight="1" x14ac:dyDescent="0.2">
      <c r="A10" s="124">
        <f t="shared" si="0"/>
        <v>23</v>
      </c>
      <c r="B10" s="124">
        <f t="shared" si="0"/>
        <v>2032</v>
      </c>
      <c r="C10" s="121">
        <f ca="1">IFERROR(IF(VALUE(RIGHT($B$1,2))&gt;$A10,0,AVERAGEIFS(Elec_On_Peak, 'Avoided AC'!$D:$D, $B10, 'Avoided AC'!$E:$E, "Summer") +
        INDEX(AEPS!$S$8:$S$37, MATCH($A10, 'General Inputs'!$F$3:$F$32, 0)) +
        OFFSET(DRIPE!$I$10, MATCH('Output (non-LI)'!$B10, DRIPE!$I$11:$I$30, 0), MATCH('Output (non-LI)'!$B$1, DRIPE!$J$10:$N$10, 0), 1, 1)),"Data Missing")</f>
        <v>73.868987295217835</v>
      </c>
      <c r="D10" s="15">
        <f ca="1">IFERROR(IF(VALUE(RIGHT($B$1,2))&gt;$A10,0,AVERAGEIFS(Elec_Off_Peak, 'Avoided AC'!$D:$D, $B10, 'Avoided AC'!$E:$E, "Summer") +
        INDEX(AEPS!$S$8:$S$37, MATCH($A10, 'General Inputs'!$F$3:$F$32, 0)) +
        OFFSET(DRIPE!$I$10, MATCH('Output (non-LI)'!$B10, DRIPE!$I$11:$I$30, 0), MATCH('Output (non-LI)'!$B$1, DRIPE!$J$10:$N$10, 0), 1, 1)),"Data Missing")</f>
        <v>43.964724476380887</v>
      </c>
      <c r="E10" s="15">
        <f ca="1">IFERROR(IF(VALUE(RIGHT($B$1,2))&gt;$A10,0,AVERAGEIFS(Elec_On_Peak, 'Avoided AC'!$D:$D, $B10, 'Avoided AC'!$E:$E, "Winter") +
        INDEX(AEPS!$S$8:$S$37, MATCH($A10, 'General Inputs'!$F$3:$F$32, 0)) +
        OFFSET(DRIPE!$I$10, MATCH('Output (non-LI)'!$B10, DRIPE!$I$11:$I$30, 0), MATCH('Output (non-LI)'!$B$1, DRIPE!$J$10:$N$10, 0), 1, 1)),"Data Missing")</f>
        <v>83.732093265613372</v>
      </c>
      <c r="F10" s="15">
        <f ca="1">IFERROR(IF(VALUE(RIGHT($B$1,2))&gt;$A10,0,AVERAGEIFS(Elec_Off_Peak, 'Avoided AC'!$D:$D, $B10, 'Avoided AC'!$E:$E, "Winter") +
        INDEX(AEPS!$S$8:$S$37, MATCH($A10, 'General Inputs'!$F$3:$F$32, 0)) +
        OFFSET(DRIPE!$I$10, MATCH('Output (non-LI)'!$B10, DRIPE!$I$11:$I$30, 0), MATCH('Output (non-LI)'!$B$1, DRIPE!$J$10:$N$10, 0), 1, 1)),"Data Missing")</f>
        <v>70.873560431640911</v>
      </c>
      <c r="G10" s="15">
        <f ca="1">IFERROR(IF(VALUE(RIGHT($B$1,2))&gt;$A10,0,AVERAGEIFS(Elec_On_Peak, 'Avoided AC'!$D:$D, $B10, 'Avoided AC'!$E:$E, "Shoulder") +
        INDEX(AEPS!$S$8:$S$37, MATCH($A10, 'General Inputs'!$F$3:$F$32, 0)) +
        OFFSET(DRIPE!$I$10, MATCH('Output (non-LI)'!$B10, DRIPE!$I$11:$I$30, 0), MATCH('Output (non-LI)'!$B$1, DRIPE!$J$10:$N$10, 0), 1, 1)),"Data Missing")</f>
        <v>60.50130560516255</v>
      </c>
      <c r="H10" s="15">
        <f ca="1">IFERROR(IF(VALUE(RIGHT($B$1,2))&gt;$A10,0,AVERAGEIFS(Elec_Off_Peak, 'Avoided AC'!$D:$D, $B10, 'Avoided AC'!$E:$E, "Shoulder") +
        INDEX(AEPS!$S$8:$S$37, MATCH($A10, 'General Inputs'!$F$3:$F$32, 0)) +
        OFFSET(DRIPE!$I$10, MATCH('Output (non-LI)'!$B10, DRIPE!$I$11:$I$30, 0), MATCH('Output (non-LI)'!$B$1, DRIPE!$J$10:$N$10, 0), 1, 1)),"Data Missing")</f>
        <v>47.752760277152532</v>
      </c>
      <c r="I10" s="15">
        <f ca="1">(IF(VALUE(RIGHT($B$1,2))&gt;$A10,0,INDEX('Generation Capacity'!$E$27:$K$48,MATCH($A10,'Generation Capacity'!$B$27:$B$48,FALSE),MATCH(EDC_NAME,'Generation Capacity'!$E$26:$K$26,FALSE))+
        OFFSET(DRIPE!$B$35,MATCH('Output (non-LI)'!$B10,DRIPE!$B$11:$B$30,0),MATCH('Output (non-LI)'!$B$1,DRIPE!$C$10:$G$10,0),1,1)))</f>
        <v>28.214799660168399</v>
      </c>
      <c r="J10" s="15">
        <f ca="1">(IF(VALUE(RIGHT($B$1,2))&gt;$A10,0,INDEX('Generation Capacity'!$E$27:$K$48,MATCH($A10,'Generation Capacity'!$B$27:$B$48,FALSE),MATCH(EDC_NAME,'Generation Capacity'!$E$26:$K$26,FALSE))+
        OFFSET(DRIPE!$I$35,MATCH('Output (non-LI)'!$B10,DRIPE!$B$11:$B$30,0),MATCH('Output (non-LI)'!$B$1,DRIPE!$C$10:$G$10,0),1,1)))</f>
        <v>28.214799660168399</v>
      </c>
      <c r="K10" s="15">
        <f ca="1">IFERROR(IF(VALUE(RIGHT($B$1,2))&gt;$A10,0,INDEX('T&amp;D Capacity'!$E$4:$K$23,MATCH($A10,'T&amp;D Capacity'!$B$4:$B$23,FALSE),MATCH(EDC_NAME,'T&amp;D Capacity'!$E$3:$K$3,FALSE))),0)</f>
        <v>9.7820268534975199</v>
      </c>
      <c r="L10" s="15">
        <f ca="1">IFERROR(IF(VALUE(RIGHT($B$1,2))&gt;$A10,0,INDEX('T&amp;D Capacity'!$E$28:$K$47,MATCH($A10,'T&amp;D Capacity'!$B$28:$B$47,FALSE),MATCH(EDC_NAME,'T&amp;D Capacity'!$E$27:$K$27,FALSE))),0)</f>
        <v>9.7820268534975199</v>
      </c>
      <c r="M10" s="15">
        <f ca="1">IFERROR(IF(VALUE(RIGHT($B$1,2))&gt;$A10,0,INDEX('T&amp;D Capacity'!$M$4:$S$23,MATCH($A10,'T&amp;D Capacity'!$B$4:$B$23,FALSE),MATCH(EDC_NAME,'T&amp;D Capacity'!$M$3:$S$3,FALSE))),0)</f>
        <v>63.482977572781131</v>
      </c>
      <c r="N10" s="15">
        <f ca="1">IFERROR(IF(VALUE(RIGHT($B$1,2))&gt;$A10,0,INDEX('T&amp;D Capacity'!$M$28:$S$47,MATCH($A10,'T&amp;D Capacity'!$B$28:$B$47,FALSE),MATCH(EDC_NAME,'T&amp;D Capacity'!$M$27:$S$27,FALSE))),0)</f>
        <v>9.2054715452904787</v>
      </c>
      <c r="O10" s="16">
        <f>IFERROR(IF(VALUE(RIGHT($B$1,2))&gt;$A10,0,IFERROR(AVERAGEIF('NG Futures'!$E:$E,$B10,'NG Futures'!$I:$I),"Data Missing")),0)</f>
        <v>3.4331546501092309</v>
      </c>
      <c r="P10" s="321"/>
      <c r="Q10" s="65"/>
    </row>
    <row r="11" spans="1:52" ht="15" customHeight="1" x14ac:dyDescent="0.2">
      <c r="A11" s="124">
        <f t="shared" si="0"/>
        <v>24</v>
      </c>
      <c r="B11" s="124">
        <f t="shared" si="0"/>
        <v>2033</v>
      </c>
      <c r="C11" s="121">
        <f ca="1">IFERROR(IF(VALUE(RIGHT($B$1,2))&gt;$A11,0,AVERAGEIFS(Elec_On_Peak, 'Avoided AC'!$D:$D, $B11, 'Avoided AC'!$E:$E, "Summer") +
        INDEX(AEPS!$S$8:$S$37, MATCH($A11, 'General Inputs'!$F$3:$F$32, 0)) +
        OFFSET(DRIPE!$I$10, MATCH('Output (non-LI)'!$B11, DRIPE!$I$11:$I$30, 0), MATCH('Output (non-LI)'!$B$1, DRIPE!$J$10:$N$10, 0), 1, 1)),"Data Missing")</f>
        <v>76.253378015111821</v>
      </c>
      <c r="D11" s="15">
        <f ca="1">IFERROR(IF(VALUE(RIGHT($B$1,2))&gt;$A11,0,AVERAGEIFS(Elec_Off_Peak, 'Avoided AC'!$D:$D, $B11, 'Avoided AC'!$E:$E, "Summer") +
        INDEX(AEPS!$S$8:$S$37, MATCH($A11, 'General Inputs'!$F$3:$F$32, 0)) +
        OFFSET(DRIPE!$I$10, MATCH('Output (non-LI)'!$B11, DRIPE!$I$11:$I$30, 0), MATCH('Output (non-LI)'!$B$1, DRIPE!$J$10:$N$10, 0), 1, 1)),"Data Missing")</f>
        <v>45.654107122545334</v>
      </c>
      <c r="E11" s="15">
        <f ca="1">IFERROR(IF(VALUE(RIGHT($B$1,2))&gt;$A11,0,AVERAGEIFS(Elec_On_Peak, 'Avoided AC'!$D:$D, $B11, 'Avoided AC'!$E:$E, "Winter") +
        INDEX(AEPS!$S$8:$S$37, MATCH($A11, 'General Inputs'!$F$3:$F$32, 0)) +
        OFFSET(DRIPE!$I$10, MATCH('Output (non-LI)'!$B11, DRIPE!$I$11:$I$30, 0), MATCH('Output (non-LI)'!$B$1, DRIPE!$J$10:$N$10, 0), 1, 1)),"Data Missing")</f>
        <v>88.079095456708288</v>
      </c>
      <c r="F11" s="15">
        <f ca="1">IFERROR(IF(VALUE(RIGHT($B$1,2))&gt;$A11,0,AVERAGEIFS(Elec_Off_Peak, 'Avoided AC'!$D:$D, $B11, 'Avoided AC'!$E:$E, "Winter") +
        INDEX(AEPS!$S$8:$S$37, MATCH($A11, 'General Inputs'!$F$3:$F$32, 0)) +
        OFFSET(DRIPE!$I$10, MATCH('Output (non-LI)'!$B11, DRIPE!$I$11:$I$30, 0), MATCH('Output (non-LI)'!$B$1, DRIPE!$J$10:$N$10, 0), 1, 1)),"Data Missing")</f>
        <v>73.914529363865398</v>
      </c>
      <c r="G11" s="15">
        <f ca="1">IFERROR(IF(VALUE(RIGHT($B$1,2))&gt;$A11,0,AVERAGEIFS(Elec_On_Peak, 'Avoided AC'!$D:$D, $B11, 'Avoided AC'!$E:$E, "Shoulder") +
        INDEX(AEPS!$S$8:$S$37, MATCH($A11, 'General Inputs'!$F$3:$F$32, 0)) +
        OFFSET(DRIPE!$I$10, MATCH('Output (non-LI)'!$B11, DRIPE!$I$11:$I$30, 0), MATCH('Output (non-LI)'!$B$1, DRIPE!$J$10:$N$10, 0), 1, 1)),"Data Missing")</f>
        <v>62.91353075092745</v>
      </c>
      <c r="H11" s="15">
        <f ca="1">IFERROR(IF(VALUE(RIGHT($B$1,2))&gt;$A11,0,AVERAGEIFS(Elec_Off_Peak, 'Avoided AC'!$D:$D, $B11, 'Avoided AC'!$E:$E, "Shoulder") +
        INDEX(AEPS!$S$8:$S$37, MATCH($A11, 'General Inputs'!$F$3:$F$32, 0)) +
        OFFSET(DRIPE!$I$10, MATCH('Output (non-LI)'!$B11, DRIPE!$I$11:$I$30, 0), MATCH('Output (non-LI)'!$B$1, DRIPE!$J$10:$N$10, 0), 1, 1)),"Data Missing")</f>
        <v>49.461311581423566</v>
      </c>
      <c r="I11" s="15">
        <f ca="1">(IF(VALUE(RIGHT($B$1,2))&gt;$A11,0,INDEX('Generation Capacity'!$E$27:$K$48,MATCH($A11,'Generation Capacity'!$B$27:$B$48,FALSE),MATCH(EDC_NAME,'Generation Capacity'!$E$26:$K$26,FALSE))+
        OFFSET(DRIPE!$B$35,MATCH('Output (non-LI)'!$B11,DRIPE!$B$11:$B$30,0),MATCH('Output (non-LI)'!$B$1,DRIPE!$C$10:$G$10,0),1,1)))</f>
        <v>28.799281471618873</v>
      </c>
      <c r="J11" s="15">
        <f ca="1">(IF(VALUE(RIGHT($B$1,2))&gt;$A11,0,INDEX('Generation Capacity'!$E$27:$K$48,MATCH($A11,'Generation Capacity'!$B$27:$B$48,FALSE),MATCH(EDC_NAME,'Generation Capacity'!$E$26:$K$26,FALSE))+
        OFFSET(DRIPE!$I$35,MATCH('Output (non-LI)'!$B11,DRIPE!$B$11:$B$30,0),MATCH('Output (non-LI)'!$B$1,DRIPE!$C$10:$G$10,0),1,1)))</f>
        <v>28.799281471618873</v>
      </c>
      <c r="K11" s="15">
        <f ca="1">IFERROR(IF(VALUE(RIGHT($B$1,2))&gt;$A11,0,INDEX('T&amp;D Capacity'!$E$4:$K$23,MATCH($A11,'T&amp;D Capacity'!$B$4:$B$23,FALSE),MATCH(EDC_NAME,'T&amp;D Capacity'!$E$3:$K$3,FALSE))),0)</f>
        <v>9.9846657821396683</v>
      </c>
      <c r="L11" s="15">
        <f ca="1">IFERROR(IF(VALUE(RIGHT($B$1,2))&gt;$A11,0,INDEX('T&amp;D Capacity'!$E$28:$K$47,MATCH($A11,'T&amp;D Capacity'!$B$28:$B$47,FALSE),MATCH(EDC_NAME,'T&amp;D Capacity'!$E$27:$K$27,FALSE))),0)</f>
        <v>9.9846657821396683</v>
      </c>
      <c r="M11" s="15">
        <f ca="1">IFERROR(IF(VALUE(RIGHT($B$1,2))&gt;$A11,0,INDEX('T&amp;D Capacity'!$M$4:$S$23,MATCH($A11,'T&amp;D Capacity'!$B$4:$B$23,FALSE),MATCH(EDC_NAME,'T&amp;D Capacity'!$M$3:$S$3,FALSE))),0)</f>
        <v>64.798054985164484</v>
      </c>
      <c r="N11" s="15">
        <f ca="1">IFERROR(IF(VALUE(RIGHT($B$1,2))&gt;$A11,0,INDEX('T&amp;D Capacity'!$M$28:$S$47,MATCH($A11,'T&amp;D Capacity'!$B$28:$B$47,FALSE),MATCH(EDC_NAME,'T&amp;D Capacity'!$M$27:$S$27,FALSE))),0)</f>
        <v>9.396166880676569</v>
      </c>
      <c r="O11" s="16">
        <f>IFERROR(IF(VALUE(RIGHT($B$1,2))&gt;$A11,0,IFERROR(AVERAGEIF('NG Futures'!$E:$E,$B11,'NG Futures'!$I:$I),"Data Missing")),0)</f>
        <v>3.6808695479745581</v>
      </c>
      <c r="P11" s="321"/>
      <c r="Q11" s="65"/>
    </row>
    <row r="12" spans="1:52" ht="15" customHeight="1" x14ac:dyDescent="0.2">
      <c r="A12" s="124">
        <f t="shared" si="0"/>
        <v>25</v>
      </c>
      <c r="B12" s="124">
        <f t="shared" si="0"/>
        <v>2034</v>
      </c>
      <c r="C12" s="121">
        <f ca="1">IFERROR(IF(VALUE(RIGHT($B$1,2))&gt;$A12,0,AVERAGEIFS(Elec_On_Peak, 'Avoided AC'!$D:$D, $B12, 'Avoided AC'!$E:$E, "Summer") +
        INDEX(AEPS!$S$8:$S$37, MATCH($A12, 'General Inputs'!$F$3:$F$32, 0)) +
        OFFSET(DRIPE!$I$10, MATCH('Output (non-LI)'!$B12, DRIPE!$I$11:$I$30, 0), MATCH('Output (non-LI)'!$B$1, DRIPE!$J$10:$N$10, 0), 1, 1)),"Data Missing")</f>
        <v>79.14252965970276</v>
      </c>
      <c r="D12" s="15">
        <f ca="1">IFERROR(IF(VALUE(RIGHT($B$1,2))&gt;$A12,0,AVERAGEIFS(Elec_Off_Peak, 'Avoided AC'!$D:$D, $B12, 'Avoided AC'!$E:$E, "Summer") +
        INDEX(AEPS!$S$8:$S$37, MATCH($A12, 'General Inputs'!$F$3:$F$32, 0)) +
        OFFSET(DRIPE!$I$10, MATCH('Output (non-LI)'!$B12, DRIPE!$I$11:$I$30, 0), MATCH('Output (non-LI)'!$B$1, DRIPE!$J$10:$N$10, 0), 1, 1)),"Data Missing")</f>
        <v>47.692048713186267</v>
      </c>
      <c r="E12" s="15">
        <f ca="1">IFERROR(IF(VALUE(RIGHT($B$1,2))&gt;$A12,0,AVERAGEIFS(Elec_On_Peak, 'Avoided AC'!$D:$D, $B12, 'Avoided AC'!$E:$E, "Winter") +
        INDEX(AEPS!$S$8:$S$37, MATCH($A12, 'General Inputs'!$F$3:$F$32, 0)) +
        OFFSET(DRIPE!$I$10, MATCH('Output (non-LI)'!$B12, DRIPE!$I$11:$I$30, 0), MATCH('Output (non-LI)'!$B$1, DRIPE!$J$10:$N$10, 0), 1, 1)),"Data Missing")</f>
        <v>93.471194924770529</v>
      </c>
      <c r="F12" s="15">
        <f ca="1">IFERROR(IF(VALUE(RIGHT($B$1,2))&gt;$A12,0,AVERAGEIFS(Elec_Off_Peak, 'Avoided AC'!$D:$D, $B12, 'Avoided AC'!$E:$E, "Winter") +
        INDEX(AEPS!$S$8:$S$37, MATCH($A12, 'General Inputs'!$F$3:$F$32, 0)) +
        OFFSET(DRIPE!$I$10, MATCH('Output (non-LI)'!$B12, DRIPE!$I$11:$I$30, 0), MATCH('Output (non-LI)'!$B$1, DRIPE!$J$10:$N$10, 0), 1, 1)),"Data Missing")</f>
        <v>77.676169201749133</v>
      </c>
      <c r="G12" s="15">
        <f ca="1">IFERROR(IF(VALUE(RIGHT($B$1,2))&gt;$A12,0,AVERAGEIFS(Elec_On_Peak, 'Avoided AC'!$D:$D, $B12, 'Avoided AC'!$E:$E, "Shoulder") +
        INDEX(AEPS!$S$8:$S$37, MATCH($A12, 'General Inputs'!$F$3:$F$32, 0)) +
        OFFSET(DRIPE!$I$10, MATCH('Output (non-LI)'!$B12, DRIPE!$I$11:$I$30, 0), MATCH('Output (non-LI)'!$B$1, DRIPE!$J$10:$N$10, 0), 1, 1)),"Data Missing")</f>
        <v>66.126633394468271</v>
      </c>
      <c r="H12" s="15">
        <f ca="1">IFERROR(IF(VALUE(RIGHT($B$1,2))&gt;$A12,0,AVERAGEIFS(Elec_Off_Peak, 'Avoided AC'!$D:$D, $B12, 'Avoided AC'!$E:$E, "Shoulder") +
        INDEX(AEPS!$S$8:$S$37, MATCH($A12, 'General Inputs'!$F$3:$F$32, 0)) +
        OFFSET(DRIPE!$I$10, MATCH('Output (non-LI)'!$B12, DRIPE!$I$11:$I$30, 0), MATCH('Output (non-LI)'!$B$1, DRIPE!$J$10:$N$10, 0), 1, 1)),"Data Missing")</f>
        <v>51.722347622474587</v>
      </c>
      <c r="I12" s="15">
        <f ca="1">(IF(VALUE(RIGHT($B$1,2))&gt;$A12,0,INDEX('Generation Capacity'!$E$27:$K$48,MATCH($A12,'Generation Capacity'!$B$27:$B$48,FALSE),MATCH(EDC_NAME,'Generation Capacity'!$E$26:$K$26,FALSE))+
        OFFSET(DRIPE!$B$35,MATCH('Output (non-LI)'!$B12,DRIPE!$B$11:$B$30,0),MATCH('Output (non-LI)'!$B$1,DRIPE!$C$10:$G$10,0),1,1)))</f>
        <v>29.395871077277739</v>
      </c>
      <c r="J12" s="15">
        <f ca="1">(IF(VALUE(RIGHT($B$1,2))&gt;$A12,0,INDEX('Generation Capacity'!$E$27:$K$48,MATCH($A12,'Generation Capacity'!$B$27:$B$48,FALSE),MATCH(EDC_NAME,'Generation Capacity'!$E$26:$K$26,FALSE))+
        OFFSET(DRIPE!$I$35,MATCH('Output (non-LI)'!$B12,DRIPE!$B$11:$B$30,0),MATCH('Output (non-LI)'!$B$1,DRIPE!$C$10:$G$10,0),1,1)))</f>
        <v>29.395871077277739</v>
      </c>
      <c r="K12" s="15">
        <f ca="1">IFERROR(IF(VALUE(RIGHT($B$1,2))&gt;$A12,0,INDEX('T&amp;D Capacity'!$E$4:$K$23,MATCH($A12,'T&amp;D Capacity'!$B$4:$B$23,FALSE),MATCH(EDC_NAME,'T&amp;D Capacity'!$E$3:$K$3,FALSE))),0)</f>
        <v>10.191502464071213</v>
      </c>
      <c r="L12" s="15">
        <f ca="1">IFERROR(IF(VALUE(RIGHT($B$1,2))&gt;$A12,0,INDEX('T&amp;D Capacity'!$E$28:$K$47,MATCH($A12,'T&amp;D Capacity'!$B$28:$B$47,FALSE),MATCH(EDC_NAME,'T&amp;D Capacity'!$E$27:$K$27,FALSE))),0)</f>
        <v>10.191502464071213</v>
      </c>
      <c r="M12" s="15">
        <f ca="1">IFERROR(IF(VALUE(RIGHT($B$1,2))&gt;$A12,0,INDEX('T&amp;D Capacity'!$M$4:$S$23,MATCH($A12,'T&amp;D Capacity'!$B$4:$B$23,FALSE),MATCH(EDC_NAME,'T&amp;D Capacity'!$M$3:$S$3,FALSE))),0)</f>
        <v>66.140374796481908</v>
      </c>
      <c r="N12" s="15">
        <f ca="1">IFERROR(IF(VALUE(RIGHT($B$1,2))&gt;$A12,0,INDEX('T&amp;D Capacity'!$M$28:$S$47,MATCH($A12,'T&amp;D Capacity'!$B$28:$B$47,FALSE),MATCH(EDC_NAME,'T&amp;D Capacity'!$M$27:$S$27,FALSE))),0)</f>
        <v>9.5908125526379333</v>
      </c>
      <c r="O12" s="16">
        <f>IFERROR(IF(VALUE(RIGHT($B$1,2))&gt;$A12,0,IFERROR(AVERAGEIF('NG Futures'!$E:$E,$B12,'NG Futures'!$I:$I),"Data Missing")),0)</f>
        <v>3.9952671302460749</v>
      </c>
      <c r="P12" s="321"/>
      <c r="Q12" s="65"/>
    </row>
    <row r="13" spans="1:52" ht="15" customHeight="1" x14ac:dyDescent="0.2">
      <c r="A13" s="124">
        <f t="shared" si="0"/>
        <v>26</v>
      </c>
      <c r="B13" s="124">
        <f t="shared" si="0"/>
        <v>2035</v>
      </c>
      <c r="C13" s="121">
        <f ca="1">IFERROR(IF(VALUE(RIGHT($B$1,2))&gt;$A13,0,AVERAGEIFS(Elec_On_Peak, 'Avoided AC'!$D:$D, $B13, 'Avoided AC'!$E:$E, "Summer") +
        INDEX(AEPS!$S$8:$S$37, MATCH($A13, 'General Inputs'!$F$3:$F$32, 0)) +
        OFFSET(DRIPE!$I$10, MATCH('Output (non-LI)'!$B13, DRIPE!$I$11:$I$30, 0), MATCH('Output (non-LI)'!$B$1, DRIPE!$J$10:$N$10, 0), 1, 1)),"Data Missing")</f>
        <v>81.931582500549922</v>
      </c>
      <c r="D13" s="15">
        <f ca="1">IFERROR(IF(VALUE(RIGHT($B$1,2))&gt;$A13,0,AVERAGEIFS(Elec_Off_Peak, 'Avoided AC'!$D:$D, $B13, 'Avoided AC'!$E:$E, "Summer") +
        INDEX(AEPS!$S$8:$S$37, MATCH($A13, 'General Inputs'!$F$3:$F$32, 0)) +
        OFFSET(DRIPE!$I$10, MATCH('Output (non-LI)'!$B13, DRIPE!$I$11:$I$30, 0), MATCH('Output (non-LI)'!$B$1, DRIPE!$J$10:$N$10, 0), 1, 1)),"Data Missing")</f>
        <v>49.662021082051282</v>
      </c>
      <c r="E13" s="15">
        <f ca="1">IFERROR(IF(VALUE(RIGHT($B$1,2))&gt;$A13,0,AVERAGEIFS(Elec_On_Peak, 'Avoided AC'!$D:$D, $B13, 'Avoided AC'!$E:$E, "Winter") +
        INDEX(AEPS!$S$8:$S$37, MATCH($A13, 'General Inputs'!$F$3:$F$32, 0)) +
        OFFSET(DRIPE!$I$10, MATCH('Output (non-LI)'!$B13, DRIPE!$I$11:$I$30, 0), MATCH('Output (non-LI)'!$B$1, DRIPE!$J$10:$N$10, 0), 1, 1)),"Data Missing")</f>
        <v>98.520653422665092</v>
      </c>
      <c r="F13" s="15">
        <f ca="1">IFERROR(IF(VALUE(RIGHT($B$1,2))&gt;$A13,0,AVERAGEIFS(Elec_Off_Peak, 'Avoided AC'!$D:$D, $B13, 'Avoided AC'!$E:$E, "Winter") +
        INDEX(AEPS!$S$8:$S$37, MATCH($A13, 'General Inputs'!$F$3:$F$32, 0)) +
        OFFSET(DRIPE!$I$10, MATCH('Output (non-LI)'!$B13, DRIPE!$I$11:$I$30, 0), MATCH('Output (non-LI)'!$B$1, DRIPE!$J$10:$N$10, 0), 1, 1)),"Data Missing")</f>
        <v>81.202808965984232</v>
      </c>
      <c r="G13" s="15">
        <f ca="1">IFERROR(IF(VALUE(RIGHT($B$1,2))&gt;$A13,0,AVERAGEIFS(Elec_On_Peak, 'Avoided AC'!$D:$D, $B13, 'Avoided AC'!$E:$E, "Shoulder") +
        INDEX(AEPS!$S$8:$S$37, MATCH($A13, 'General Inputs'!$F$3:$F$32, 0)) +
        OFFSET(DRIPE!$I$10, MATCH('Output (non-LI)'!$B13, DRIPE!$I$11:$I$30, 0), MATCH('Output (non-LI)'!$B$1, DRIPE!$J$10:$N$10, 0), 1, 1)),"Data Missing")</f>
        <v>69.337733057302913</v>
      </c>
      <c r="H13" s="15">
        <f ca="1">IFERROR(IF(VALUE(RIGHT($B$1,2))&gt;$A13,0,AVERAGEIFS(Elec_Off_Peak, 'Avoided AC'!$D:$D, $B13, 'Avoided AC'!$E:$E, "Shoulder") +
        INDEX(AEPS!$S$8:$S$37, MATCH($A13, 'General Inputs'!$F$3:$F$32, 0)) +
        OFFSET(DRIPE!$I$10, MATCH('Output (non-LI)'!$B13, DRIPE!$I$11:$I$30, 0), MATCH('Output (non-LI)'!$B$1, DRIPE!$J$10:$N$10, 0), 1, 1)),"Data Missing")</f>
        <v>53.982969824505226</v>
      </c>
      <c r="I13" s="15">
        <f ca="1">(IF(VALUE(RIGHT($B$1,2))&gt;$A13,0,INDEX('Generation Capacity'!$E$27:$K$48,MATCH($A13,'Generation Capacity'!$B$27:$B$48,FALSE),MATCH(EDC_NAME,'Generation Capacity'!$E$26:$K$26,FALSE))+
        OFFSET(DRIPE!$B$35,MATCH('Output (non-LI)'!$B13,DRIPE!$B$11:$B$30,0),MATCH('Output (non-LI)'!$B$1,DRIPE!$C$10:$G$10,0),1,1)))</f>
        <v>30.004819295353062</v>
      </c>
      <c r="J13" s="15">
        <f ca="1">(IF(VALUE(RIGHT($B$1,2))&gt;$A13,0,INDEX('Generation Capacity'!$E$27:$K$48,MATCH($A13,'Generation Capacity'!$B$27:$B$48,FALSE),MATCH(EDC_NAME,'Generation Capacity'!$E$26:$K$26,FALSE))+
        OFFSET(DRIPE!$I$35,MATCH('Output (non-LI)'!$B13,DRIPE!$B$11:$B$30,0),MATCH('Output (non-LI)'!$B$1,DRIPE!$C$10:$G$10,0),1,1)))</f>
        <v>30.004819295353062</v>
      </c>
      <c r="K13" s="15">
        <f ca="1">IFERROR(IF(VALUE(RIGHT($B$1,2))&gt;$A13,0,INDEX('T&amp;D Capacity'!$E$4:$K$23,MATCH($A13,'T&amp;D Capacity'!$B$4:$B$23,FALSE),MATCH(EDC_NAME,'T&amp;D Capacity'!$E$3:$K$3,FALSE))),0)</f>
        <v>10.402623857572072</v>
      </c>
      <c r="L13" s="15">
        <f ca="1">IFERROR(IF(VALUE(RIGHT($B$1,2))&gt;$A13,0,INDEX('T&amp;D Capacity'!$E$28:$K$47,MATCH($A13,'T&amp;D Capacity'!$B$28:$B$47,FALSE),MATCH(EDC_NAME,'T&amp;D Capacity'!$E$27:$K$27,FALSE))),0)</f>
        <v>10.402623857572072</v>
      </c>
      <c r="M13" s="15">
        <f ca="1">IFERROR(IF(VALUE(RIGHT($B$1,2))&gt;$A13,0,INDEX('T&amp;D Capacity'!$M$4:$S$23,MATCH($A13,'T&amp;D Capacity'!$B$4:$B$23,FALSE),MATCH(EDC_NAME,'T&amp;D Capacity'!$M$3:$S$3,FALSE))),0)</f>
        <v>67.510501344842098</v>
      </c>
      <c r="N13" s="15">
        <f ca="1">IFERROR(IF(VALUE(RIGHT($B$1,2))&gt;$A13,0,INDEX('T&amp;D Capacity'!$M$28:$S$47,MATCH($A13,'T&amp;D Capacity'!$B$28:$B$47,FALSE),MATCH(EDC_NAME,'T&amp;D Capacity'!$M$27:$S$27,FALSE))),0)</f>
        <v>9.7894903941099525</v>
      </c>
      <c r="O13" s="16">
        <f>IFERROR(IF(VALUE(RIGHT($B$1,2))&gt;$A13,0,IFERROR(AVERAGEIF('NG Futures'!$E:$E,$B13,'NG Futures'!$I:$I),"Data Missing")),0)</f>
        <v>4.297775585014695</v>
      </c>
      <c r="P13" s="321"/>
      <c r="Q13" s="65"/>
      <c r="AF13" s="84"/>
    </row>
    <row r="14" spans="1:52" ht="15" customHeight="1" x14ac:dyDescent="0.2">
      <c r="A14" s="124">
        <f t="shared" si="0"/>
        <v>27</v>
      </c>
      <c r="B14" s="124">
        <f t="shared" si="0"/>
        <v>2036</v>
      </c>
      <c r="C14" s="121">
        <f ca="1">IFERROR(IF(VALUE(RIGHT($B$1,2))&gt;$A14,0,AVERAGEIFS(Elec_On_Peak, 'Avoided AC'!$D:$D, $B14, 'Avoided AC'!$E:$E, "Summer") +
        INDEX(AEPS!$S$8:$S$37, MATCH($A14, 'General Inputs'!$F$3:$F$32, 0)) +
        OFFSET(DRIPE!$I$10, MATCH('Output (non-LI)'!$B14, DRIPE!$I$11:$I$30, 0), MATCH('Output (non-LI)'!$B$1, DRIPE!$J$10:$N$10, 0), 1, 1)),"Data Missing")</f>
        <v>84.516854392089215</v>
      </c>
      <c r="D14" s="15">
        <f ca="1">IFERROR(IF(VALUE(RIGHT($B$1,2))&gt;$A14,0,AVERAGEIFS(Elec_Off_Peak, 'Avoided AC'!$D:$D, $B14, 'Avoided AC'!$E:$E, "Summer") +
        INDEX(AEPS!$S$8:$S$37, MATCH($A14, 'General Inputs'!$F$3:$F$32, 0)) +
        OFFSET(DRIPE!$I$10, MATCH('Output (non-LI)'!$B14, DRIPE!$I$11:$I$30, 0), MATCH('Output (non-LI)'!$B$1, DRIPE!$J$10:$N$10, 0), 1, 1)),"Data Missing")</f>
        <v>51.492641039859841</v>
      </c>
      <c r="E14" s="15">
        <f ca="1">IFERROR(IF(VALUE(RIGHT($B$1,2))&gt;$A14,0,AVERAGEIFS(Elec_On_Peak, 'Avoided AC'!$D:$D, $B14, 'Avoided AC'!$E:$E, "Winter") +
        INDEX(AEPS!$S$8:$S$37, MATCH($A14, 'General Inputs'!$F$3:$F$32, 0)) +
        OFFSET(DRIPE!$I$10, MATCH('Output (non-LI)'!$B14, DRIPE!$I$11:$I$30, 0), MATCH('Output (non-LI)'!$B$1, DRIPE!$J$10:$N$10, 0), 1, 1)),"Data Missing")</f>
        <v>103.08041583716579</v>
      </c>
      <c r="F14" s="15">
        <f ca="1">IFERROR(IF(VALUE(RIGHT($B$1,2))&gt;$A14,0,AVERAGEIFS(Elec_Off_Peak, 'Avoided AC'!$D:$D, $B14, 'Avoided AC'!$E:$E, "Winter") +
        INDEX(AEPS!$S$8:$S$37, MATCH($A14, 'General Inputs'!$F$3:$F$32, 0)) +
        OFFSET(DRIPE!$I$10, MATCH('Output (non-LI)'!$B14, DRIPE!$I$11:$I$30, 0), MATCH('Output (non-LI)'!$B$1, DRIPE!$J$10:$N$10, 0), 1, 1)),"Data Missing")</f>
        <v>84.393195924011735</v>
      </c>
      <c r="G14" s="15">
        <f ca="1">IFERROR(IF(VALUE(RIGHT($B$1,2))&gt;$A14,0,AVERAGEIFS(Elec_On_Peak, 'Avoided AC'!$D:$D, $B14, 'Avoided AC'!$E:$E, "Shoulder") +
        INDEX(AEPS!$S$8:$S$37, MATCH($A14, 'General Inputs'!$F$3:$F$32, 0)) +
        OFFSET(DRIPE!$I$10, MATCH('Output (non-LI)'!$B14, DRIPE!$I$11:$I$30, 0), MATCH('Output (non-LI)'!$B$1, DRIPE!$J$10:$N$10, 0), 1, 1)),"Data Missing")</f>
        <v>72.077429177743937</v>
      </c>
      <c r="H14" s="15">
        <f ca="1">IFERROR(IF(VALUE(RIGHT($B$1,2))&gt;$A14,0,AVERAGEIFS(Elec_Off_Peak, 'Avoided AC'!$D:$D, $B14, 'Avoided AC'!$E:$E, "Shoulder") +
        INDEX(AEPS!$S$8:$S$37, MATCH($A14, 'General Inputs'!$F$3:$F$32, 0)) +
        OFFSET(DRIPE!$I$10, MATCH('Output (non-LI)'!$B14, DRIPE!$I$11:$I$30, 0), MATCH('Output (non-LI)'!$B$1, DRIPE!$J$10:$N$10, 0), 1, 1)),"Data Missing")</f>
        <v>55.919936694619999</v>
      </c>
      <c r="I14" s="15">
        <f ca="1">(IF(VALUE(RIGHT($B$1,2))&gt;$A14,0,INDEX('Generation Capacity'!$E$27:$K$48,MATCH($A14,'Generation Capacity'!$B$27:$B$48,FALSE),MATCH(EDC_NAME,'Generation Capacity'!$E$26:$K$26,FALSE))+
        OFFSET(DRIPE!$B$35,MATCH('Output (non-LI)'!$B14,DRIPE!$B$11:$B$30,0),MATCH('Output (non-LI)'!$B$1,DRIPE!$C$10:$G$10,0),1,1)))</f>
        <v>30.626382139860866</v>
      </c>
      <c r="J14" s="15">
        <f ca="1">(IF(VALUE(RIGHT($B$1,2))&gt;$A14,0,INDEX('Generation Capacity'!$E$27:$K$48,MATCH($A14,'Generation Capacity'!$B$27:$B$48,FALSE),MATCH(EDC_NAME,'Generation Capacity'!$E$26:$K$26,FALSE))+
        OFFSET(DRIPE!$I$35,MATCH('Output (non-LI)'!$B14,DRIPE!$B$11:$B$30,0),MATCH('Output (non-LI)'!$B$1,DRIPE!$C$10:$G$10,0),1,1)))</f>
        <v>30.626382139860866</v>
      </c>
      <c r="K14" s="15">
        <f ca="1">IFERROR(IF(VALUE(RIGHT($B$1,2))&gt;$A14,0,INDEX('T&amp;D Capacity'!$E$4:$K$23,MATCH($A14,'T&amp;D Capacity'!$B$4:$B$23,FALSE),MATCH(EDC_NAME,'T&amp;D Capacity'!$E$3:$K$3,FALSE))),0)</f>
        <v>10.61811872230064</v>
      </c>
      <c r="L14" s="15">
        <f ca="1">IFERROR(IF(VALUE(RIGHT($B$1,2))&gt;$A14,0,INDEX('T&amp;D Capacity'!$E$28:$K$47,MATCH($A14,'T&amp;D Capacity'!$B$28:$B$47,FALSE),MATCH(EDC_NAME,'T&amp;D Capacity'!$E$27:$K$27,FALSE))),0)</f>
        <v>10.61811872230064</v>
      </c>
      <c r="M14" s="15">
        <f ca="1">IFERROR(IF(VALUE(RIGHT($B$1,2))&gt;$A14,0,INDEX('T&amp;D Capacity'!$M$4:$S$23,MATCH($A14,'T&amp;D Capacity'!$B$4:$B$23,FALSE),MATCH(EDC_NAME,'T&amp;D Capacity'!$M$3:$S$3,FALSE))),0)</f>
        <v>68.909010658862414</v>
      </c>
      <c r="N14" s="15">
        <f ca="1">IFERROR(IF(VALUE(RIGHT($B$1,2))&gt;$A14,0,INDEX('T&amp;D Capacity'!$M$28:$S$47,MATCH($A14,'T&amp;D Capacity'!$B$28:$B$47,FALSE),MATCH(EDC_NAME,'T&amp;D Capacity'!$M$27:$S$27,FALSE))),0)</f>
        <v>9.9922839332327538</v>
      </c>
      <c r="O14" s="16">
        <f>IFERROR(IF(VALUE(RIGHT($B$1,2))&gt;$A14,0,IFERROR(AVERAGEIF('NG Futures'!$E:$E,$B14,'NG Futures'!$I:$I),"Data Missing")),0)</f>
        <v>4.5669539736620006</v>
      </c>
      <c r="P14" s="322"/>
      <c r="Q14" s="65"/>
      <c r="AF14" s="188"/>
      <c r="AG14" s="188"/>
      <c r="AH14" s="84"/>
      <c r="AI14" s="84"/>
    </row>
    <row r="15" spans="1:52" ht="15" customHeight="1" x14ac:dyDescent="0.2">
      <c r="A15" s="124">
        <f t="shared" si="0"/>
        <v>28</v>
      </c>
      <c r="B15" s="124">
        <f t="shared" si="0"/>
        <v>2037</v>
      </c>
      <c r="C15" s="122">
        <f ca="1">IFERROR(IF(VALUE(RIGHT($B$1,2))&gt;$A15,0,AVERAGEIFS(Elec_On_Peak, 'Avoided AC'!$D:$D, $B15, 'Avoided AC'!$E:$E, "Summer") +
        INDEX(AEPS!$S$8:$S$37, MATCH($A15, 'General Inputs'!$F$3:$F$32, 0)) +
        OFFSET(DRIPE!$I$10, MATCH('Output (non-LI)'!$B15, DRIPE!$I$11:$I$30, 0), MATCH('Output (non-LI)'!$B$1, DRIPE!$J$10:$N$10, 0), 1, 1)),"Data Missing")</f>
        <v>86.081181235321466</v>
      </c>
      <c r="D15" s="17">
        <f ca="1">IFERROR(IF(VALUE(RIGHT($B$1,2))&gt;$A15,0,AVERAGEIFS(Elec_Off_Peak, 'Avoided AC'!$D:$D, $B15, 'Avoided AC'!$E:$E, "Summer") +
        INDEX(AEPS!$S$8:$S$37, MATCH($A15, 'General Inputs'!$F$3:$F$32, 0)) +
        OFFSET(DRIPE!$I$10, MATCH('Output (non-LI)'!$B15, DRIPE!$I$11:$I$30, 0), MATCH('Output (non-LI)'!$B$1, DRIPE!$J$10:$N$10, 0), 1, 1)),"Data Missing")</f>
        <v>52.621174113714616</v>
      </c>
      <c r="E15" s="17">
        <f ca="1">IFERROR(IF(VALUE(RIGHT($B$1,2))&gt;$A15,0,AVERAGEIFS(Elec_On_Peak, 'Avoided AC'!$D:$D, $B15, 'Avoided AC'!$E:$E, "Winter") +
        INDEX(AEPS!$S$8:$S$37, MATCH($A15, 'General Inputs'!$F$3:$F$32, 0)) +
        OFFSET(DRIPE!$I$10, MATCH('Output (non-LI)'!$B15, DRIPE!$I$11:$I$30, 0), MATCH('Output (non-LI)'!$B$1, DRIPE!$J$10:$N$10, 0), 1, 1)),"Data Missing")</f>
        <v>106.26257643562121</v>
      </c>
      <c r="F15" s="17">
        <f ca="1">IFERROR(IF(VALUE(RIGHT($B$1,2))&gt;$A15,0,AVERAGEIFS(Elec_Off_Peak, 'Avoided AC'!$D:$D, $B15, 'Avoided AC'!$E:$E, "Winter") +
        INDEX(AEPS!$S$8:$S$37, MATCH($A15, 'General Inputs'!$F$3:$F$32, 0)) +
        OFFSET(DRIPE!$I$10, MATCH('Output (non-LI)'!$B15, DRIPE!$I$11:$I$30, 0), MATCH('Output (non-LI)'!$B$1, DRIPE!$J$10:$N$10, 0), 1, 1)),"Data Missing")</f>
        <v>86.635878155135345</v>
      </c>
      <c r="G15" s="17">
        <f ca="1">IFERROR(IF(VALUE(RIGHT($B$1,2))&gt;$A15,0,AVERAGEIFS(Elec_On_Peak, 'Avoided AC'!$D:$D, $B15, 'Avoided AC'!$E:$E, "Shoulder") +
        INDEX(AEPS!$S$8:$S$37, MATCH($A15, 'General Inputs'!$F$3:$F$32, 0)) +
        OFFSET(DRIPE!$I$10, MATCH('Output (non-LI)'!$B15, DRIPE!$I$11:$I$30, 0), MATCH('Output (non-LI)'!$B$1, DRIPE!$J$10:$N$10, 0), 1, 1)),"Data Missing")</f>
        <v>73.788927663757889</v>
      </c>
      <c r="H15" s="17">
        <f ca="1">IFERROR(IF(VALUE(RIGHT($B$1,2))&gt;$A15,0,AVERAGEIFS(Elec_Off_Peak, 'Avoided AC'!$D:$D, $B15, 'Avoided AC'!$E:$E, "Shoulder") +
        INDEX(AEPS!$S$8:$S$37, MATCH($A15, 'General Inputs'!$F$3:$F$32, 0)) +
        OFFSET(DRIPE!$I$10, MATCH('Output (non-LI)'!$B15, DRIPE!$I$11:$I$30, 0), MATCH('Output (non-LI)'!$B$1, DRIPE!$J$10:$N$10, 0), 1, 1)),"Data Missing")</f>
        <v>57.149822062089441</v>
      </c>
      <c r="I15" s="17">
        <f ca="1">(IF(VALUE(RIGHT($B$1,2))&gt;$A15,0,INDEX('Generation Capacity'!$E$27:$K$48,MATCH($A15,'Generation Capacity'!$B$27:$B$48,FALSE),MATCH(EDC_NAME,'Generation Capacity'!$E$26:$K$26,FALSE))+
        OFFSET(DRIPE!$B$35,MATCH('Output (non-LI)'!$B15,DRIPE!$B$11:$B$30,0),MATCH('Output (non-LI)'!$B$1,DRIPE!$C$10:$G$10,0),1,1)))</f>
        <v>31.260820928258536</v>
      </c>
      <c r="J15" s="17">
        <f ca="1">(IF(VALUE(RIGHT($B$1,2))&gt;$A15,0,INDEX('Generation Capacity'!$E$27:$K$48,MATCH($A15,'Generation Capacity'!$B$27:$B$48,FALSE),MATCH(EDC_NAME,'Generation Capacity'!$E$26:$K$26,FALSE))+
        OFFSET(DRIPE!$I$35,MATCH('Output (non-LI)'!$B15,DRIPE!$B$11:$B$30,0),MATCH('Output (non-LI)'!$B$1,DRIPE!$C$10:$G$10,0),1,1)))</f>
        <v>31.260820928258536</v>
      </c>
      <c r="K15" s="17">
        <f ca="1">IFERROR(IF(VALUE(RIGHT($B$1,2))&gt;$A15,0,INDEX('T&amp;D Capacity'!$E$4:$K$23,MATCH($A15,'T&amp;D Capacity'!$B$4:$B$23,FALSE),MATCH(EDC_NAME,'T&amp;D Capacity'!$E$3:$K$3,FALSE))),0)</f>
        <v>10.838077656610132</v>
      </c>
      <c r="L15" s="17">
        <f ca="1">IFERROR(IF(VALUE(RIGHT($B$1,2))&gt;$A15,0,INDEX('T&amp;D Capacity'!$E$28:$K$47,MATCH($A15,'T&amp;D Capacity'!$B$28:$B$47,FALSE),MATCH(EDC_NAME,'T&amp;D Capacity'!$E$27:$K$27,FALSE))),0)</f>
        <v>10.838077656610132</v>
      </c>
      <c r="M15" s="17">
        <f ca="1">IFERROR(IF(VALUE(RIGHT($B$1,2))&gt;$A15,0,INDEX('T&amp;D Capacity'!$M$4:$S$23,MATCH($A15,'T&amp;D Capacity'!$B$4:$B$23,FALSE),MATCH(EDC_NAME,'T&amp;D Capacity'!$M$3:$S$3,FALSE))),0)</f>
        <v>70.336490699842841</v>
      </c>
      <c r="N15" s="17">
        <f ca="1">IFERROR(IF(VALUE(RIGHT($B$1,2))&gt;$A15,0,INDEX('T&amp;D Capacity'!$M$28:$S$47,MATCH($A15,'T&amp;D Capacity'!$B$28:$B$47,FALSE),MATCH(EDC_NAME,'T&amp;D Capacity'!$M$27:$S$27,FALSE))),0)</f>
        <v>10.199278428468112</v>
      </c>
      <c r="O15" s="18">
        <f>IFERROR(IF(VALUE(RIGHT($B$1,2))&gt;$A15,0,IFERROR(AVERAGEIF('NG Futures'!$E:$E,$B15,'NG Futures'!$I:$I),"Data Missing")),0)</f>
        <v>4.7349761155534029</v>
      </c>
      <c r="P15" s="323" t="s">
        <v>129</v>
      </c>
      <c r="Q15" s="65"/>
    </row>
    <row r="16" spans="1:52" ht="15" customHeight="1" x14ac:dyDescent="0.2">
      <c r="A16" s="124">
        <f t="shared" si="0"/>
        <v>29</v>
      </c>
      <c r="B16" s="124">
        <f t="shared" si="0"/>
        <v>2038</v>
      </c>
      <c r="C16" s="122">
        <f ca="1">IFERROR(IF(VALUE(RIGHT($B$1,2))&gt;$A16,0,AVERAGEIFS(Elec_On_Peak, 'Avoided AC'!$D:$D, $B16, 'Avoided AC'!$E:$E, "Summer") +
        INDEX(AEPS!$S$8:$S$37, MATCH($A16, 'General Inputs'!$F$3:$F$32, 0)) +
        OFFSET(DRIPE!$I$10, MATCH('Output (non-LI)'!$B16, DRIPE!$I$11:$I$30, 0), MATCH('Output (non-LI)'!$B$1, DRIPE!$J$10:$N$10, 0), 1, 1)),"Data Missing")</f>
        <v>85.471926709319376</v>
      </c>
      <c r="D16" s="17">
        <f ca="1">IFERROR(IF(VALUE(RIGHT($B$1,2))&gt;$A16,0,AVERAGEIFS(Elec_Off_Peak, 'Avoided AC'!$D:$D, $B16, 'Avoided AC'!$E:$E, "Summer") +
        INDEX(AEPS!$S$8:$S$37, MATCH($A16, 'General Inputs'!$F$3:$F$32, 0)) +
        OFFSET(DRIPE!$I$10, MATCH('Output (non-LI)'!$B16, DRIPE!$I$11:$I$30, 0), MATCH('Output (non-LI)'!$B$1, DRIPE!$J$10:$N$10, 0), 1, 1)),"Data Missing")</f>
        <v>52.253857485063904</v>
      </c>
      <c r="E16" s="17">
        <f ca="1">IFERROR(IF(VALUE(RIGHT($B$1,2))&gt;$A16,0,AVERAGEIFS(Elec_On_Peak, 'Avoided AC'!$D:$D, $B16, 'Avoided AC'!$E:$E, "Winter") +
        INDEX(AEPS!$S$8:$S$37, MATCH($A16, 'General Inputs'!$F$3:$F$32, 0)) +
        OFFSET(DRIPE!$I$10, MATCH('Output (non-LI)'!$B16, DRIPE!$I$11:$I$30, 0), MATCH('Output (non-LI)'!$B$1, DRIPE!$J$10:$N$10, 0), 1, 1)),"Data Missing")</f>
        <v>104.53955523637298</v>
      </c>
      <c r="F16" s="17">
        <f ca="1">IFERROR(IF(VALUE(RIGHT($B$1,2))&gt;$A16,0,AVERAGEIFS(Elec_Off_Peak, 'Avoided AC'!$D:$D, $B16, 'Avoided AC'!$E:$E, "Winter") +
        INDEX(AEPS!$S$8:$S$37, MATCH($A16, 'General Inputs'!$F$3:$F$32, 0)) +
        OFFSET(DRIPE!$I$10, MATCH('Output (non-LI)'!$B16, DRIPE!$I$11:$I$30, 0), MATCH('Output (non-LI)'!$B$1, DRIPE!$J$10:$N$10, 0), 1, 1)),"Data Missing")</f>
        <v>85.501546871001608</v>
      </c>
      <c r="G16" s="17">
        <f ca="1">IFERROR(IF(VALUE(RIGHT($B$1,2))&gt;$A16,0,AVERAGEIFS(Elec_On_Peak, 'Avoided AC'!$D:$D, $B16, 'Avoided AC'!$E:$E, "Shoulder") +
        INDEX(AEPS!$S$8:$S$37, MATCH($A16, 'General Inputs'!$F$3:$F$32, 0)) +
        OFFSET(DRIPE!$I$10, MATCH('Output (non-LI)'!$B16, DRIPE!$I$11:$I$30, 0), MATCH('Output (non-LI)'!$B$1, DRIPE!$J$10:$N$10, 0), 1, 1)),"Data Missing")</f>
        <v>73.061660447706672</v>
      </c>
      <c r="H16" s="17">
        <f ca="1">IFERROR(IF(VALUE(RIGHT($B$1,2))&gt;$A16,0,AVERAGEIFS(Elec_Off_Peak, 'Avoided AC'!$D:$D, $B16, 'Avoided AC'!$E:$E, "Shoulder") +
        INDEX(AEPS!$S$8:$S$37, MATCH($A16, 'General Inputs'!$F$3:$F$32, 0)) +
        OFFSET(DRIPE!$I$10, MATCH('Output (non-LI)'!$B16, DRIPE!$I$11:$I$30, 0), MATCH('Output (non-LI)'!$B$1, DRIPE!$J$10:$N$10, 0), 1, 1)),"Data Missing")</f>
        <v>56.701233956229913</v>
      </c>
      <c r="I16" s="17">
        <f ca="1">(IF(VALUE(RIGHT($B$1,2))&gt;$A16,0,INDEX('Generation Capacity'!$E$27:$K$48,MATCH($A16,'Generation Capacity'!$B$27:$B$48,FALSE),MATCH(EDC_NAME,'Generation Capacity'!$E$26:$K$26,FALSE))+
        OFFSET(DRIPE!$B$35,MATCH('Output (non-LI)'!$B16,DRIPE!$B$11:$B$30,0),MATCH('Output (non-LI)'!$B$1,DRIPE!$C$10:$G$10,0),1,1)))</f>
        <v>31.908402391307927</v>
      </c>
      <c r="J16" s="17">
        <f ca="1">(IF(VALUE(RIGHT($B$1,2))&gt;$A16,0,INDEX('Generation Capacity'!$E$27:$K$48,MATCH($A16,'Generation Capacity'!$B$27:$B$48,FALSE),MATCH(EDC_NAME,'Generation Capacity'!$E$26:$K$26,FALSE))+
        OFFSET(DRIPE!$I$35,MATCH('Output (non-LI)'!$B16,DRIPE!$B$11:$B$30,0),MATCH('Output (non-LI)'!$B$1,DRIPE!$C$10:$G$10,0),1,1)))</f>
        <v>31.908402391307927</v>
      </c>
      <c r="K16" s="17">
        <f ca="1">IFERROR(IF(VALUE(RIGHT($B$1,2))&gt;$A16,0,INDEX('T&amp;D Capacity'!$E$4:$K$23,MATCH($A16,'T&amp;D Capacity'!$B$4:$B$23,FALSE),MATCH(EDC_NAME,'T&amp;D Capacity'!$E$3:$K$3,FALSE))),0)</f>
        <v>11.062593135637941</v>
      </c>
      <c r="L16" s="17">
        <f ca="1">IFERROR(IF(VALUE(RIGHT($B$1,2))&gt;$A16,0,INDEX('T&amp;D Capacity'!$E$28:$K$47,MATCH($A16,'T&amp;D Capacity'!$B$28:$B$47,FALSE),MATCH(EDC_NAME,'T&amp;D Capacity'!$E$27:$K$27,FALSE))),0)</f>
        <v>11.062593135637941</v>
      </c>
      <c r="M16" s="17">
        <f ca="1">IFERROR(IF(VALUE(RIGHT($B$1,2))&gt;$A16,0,INDEX('T&amp;D Capacity'!$M$4:$S$23,MATCH($A16,'T&amp;D Capacity'!$B$4:$B$23,FALSE),MATCH(EDC_NAME,'T&amp;D Capacity'!$M$3:$S$3,FALSE))),0)</f>
        <v>71.793541608956687</v>
      </c>
      <c r="N16" s="17">
        <f ca="1">IFERROR(IF(VALUE(RIGHT($B$1,2))&gt;$A16,0,INDEX('T&amp;D Capacity'!$M$28:$S$47,MATCH($A16,'T&amp;D Capacity'!$B$28:$B$47,FALSE),MATCH(EDC_NAME,'T&amp;D Capacity'!$M$27:$S$27,FALSE))),0)</f>
        <v>10.410560904443814</v>
      </c>
      <c r="O16" s="18">
        <f>IFERROR(IF(VALUE(RIGHT($B$1,2))&gt;$A16,0,IFERROR(AVERAGEIF('NG Futures'!$E:$E,$B16,'NG Futures'!$I:$I),"Data Missing")),0)</f>
        <v>4.6357120000208072</v>
      </c>
      <c r="P16" s="324"/>
      <c r="Q16" s="65"/>
    </row>
    <row r="17" spans="1:43" ht="15" customHeight="1" x14ac:dyDescent="0.2">
      <c r="A17" s="124">
        <f t="shared" si="0"/>
        <v>30</v>
      </c>
      <c r="B17" s="124">
        <f t="shared" si="0"/>
        <v>2039</v>
      </c>
      <c r="C17" s="122">
        <f ca="1">IFERROR(IF(VALUE(RIGHT($B$1,2))&gt;$A17,0,AVERAGEIFS(Elec_On_Peak, 'Avoided AC'!$D:$D, $B17, 'Avoided AC'!$E:$E, "Summer") +
        INDEX(AEPS!$S$8:$S$37, MATCH($A17, 'General Inputs'!$F$3:$F$32, 0)) +
        OFFSET(DRIPE!$I$10, MATCH('Output (non-LI)'!$B17, DRIPE!$I$11:$I$30, 0), MATCH('Output (non-LI)'!$B$1, DRIPE!$J$10:$N$10, 0), 1, 1)),"Data Missing")</f>
        <v>85.054189195315658</v>
      </c>
      <c r="D17" s="17">
        <f ca="1">IFERROR(IF(VALUE(RIGHT($B$1,2))&gt;$A17,0,AVERAGEIFS(Elec_Off_Peak, 'Avoided AC'!$D:$D, $B17, 'Avoided AC'!$E:$E, "Summer") +
        INDEX(AEPS!$S$8:$S$37, MATCH($A17, 'General Inputs'!$F$3:$F$32, 0)) +
        OFFSET(DRIPE!$I$10, MATCH('Output (non-LI)'!$B17, DRIPE!$I$11:$I$30, 0), MATCH('Output (non-LI)'!$B$1, DRIPE!$J$10:$N$10, 0), 1, 1)),"Data Missing")</f>
        <v>52.019477494894559</v>
      </c>
      <c r="E17" s="17">
        <f ca="1">IFERROR(IF(VALUE(RIGHT($B$1,2))&gt;$A17,0,AVERAGEIFS(Elec_On_Peak, 'Avoided AC'!$D:$D, $B17, 'Avoided AC'!$E:$E, "Winter") +
        INDEX(AEPS!$S$8:$S$37, MATCH($A17, 'General Inputs'!$F$3:$F$32, 0)) +
        OFFSET(DRIPE!$I$10, MATCH('Output (non-LI)'!$B17, DRIPE!$I$11:$I$30, 0), MATCH('Output (non-LI)'!$B$1, DRIPE!$J$10:$N$10, 0), 1, 1)),"Data Missing")</f>
        <v>103.2777271455256</v>
      </c>
      <c r="F17" s="17">
        <f ca="1">IFERROR(IF(VALUE(RIGHT($B$1,2))&gt;$A17,0,AVERAGEIFS(Elec_Off_Peak, 'Avoided AC'!$D:$D, $B17, 'Avoided AC'!$E:$E, "Winter") +
        INDEX(AEPS!$S$8:$S$37, MATCH($A17, 'General Inputs'!$F$3:$F$32, 0)) +
        OFFSET(DRIPE!$I$10, MATCH('Output (non-LI)'!$B17, DRIPE!$I$11:$I$30, 0), MATCH('Output (non-LI)'!$B$1, DRIPE!$J$10:$N$10, 0), 1, 1)),"Data Missing")</f>
        <v>84.68586932673395</v>
      </c>
      <c r="G17" s="17">
        <f ca="1">IFERROR(IF(VALUE(RIGHT($B$1,2))&gt;$A17,0,AVERAGEIFS(Elec_On_Peak, 'Avoided AC'!$D:$D, $B17, 'Avoided AC'!$E:$E, "Shoulder") +
        INDEX(AEPS!$S$8:$S$37, MATCH($A17, 'General Inputs'!$F$3:$F$32, 0)) +
        OFFSET(DRIPE!$I$10, MATCH('Output (non-LI)'!$B17, DRIPE!$I$11:$I$30, 0), MATCH('Output (non-LI)'!$B$1, DRIPE!$J$10:$N$10, 0), 1, 1)),"Data Missing")</f>
        <v>72.554484632116768</v>
      </c>
      <c r="H17" s="17">
        <f ca="1">IFERROR(IF(VALUE(RIGHT($B$1,2))&gt;$A17,0,AVERAGEIFS(Elec_Off_Peak, 'Avoided AC'!$D:$D, $B17, 'Avoided AC'!$E:$E, "Shoulder") +
        INDEX(AEPS!$S$8:$S$37, MATCH($A17, 'General Inputs'!$F$3:$F$32, 0)) +
        OFFSET(DRIPE!$I$10, MATCH('Output (non-LI)'!$B17, DRIPE!$I$11:$I$30, 0), MATCH('Output (non-LI)'!$B$1, DRIPE!$J$10:$N$10, 0), 1, 1)),"Data Missing")</f>
        <v>56.405260734977276</v>
      </c>
      <c r="I17" s="17">
        <f ca="1">(IF(VALUE(RIGHT($B$1,2))&gt;$A17,0,INDEX('Generation Capacity'!$E$27:$K$48,MATCH($A17,'Generation Capacity'!$B$27:$B$48,FALSE),MATCH(EDC_NAME,'Generation Capacity'!$E$26:$K$26,FALSE))+
        OFFSET(DRIPE!$B$35,MATCH('Output (non-LI)'!$B17,DRIPE!$B$11:$B$30,0),MATCH('Output (non-LI)'!$B$1,DRIPE!$C$10:$G$10,0),1,1)))</f>
        <v>32.569398785214304</v>
      </c>
      <c r="J17" s="17">
        <f ca="1">(IF(VALUE(RIGHT($B$1,2))&gt;$A17,0,INDEX('Generation Capacity'!$E$27:$K$48,MATCH($A17,'Generation Capacity'!$B$27:$B$48,FALSE),MATCH(EDC_NAME,'Generation Capacity'!$E$26:$K$26,FALSE))+
        OFFSET(DRIPE!$I$35,MATCH('Output (non-LI)'!$B17,DRIPE!$B$11:$B$30,0),MATCH('Output (non-LI)'!$B$1,DRIPE!$C$10:$G$10,0),1,1)))</f>
        <v>32.569398785214304</v>
      </c>
      <c r="K17" s="17">
        <f ca="1">IFERROR(IF(VALUE(RIGHT($B$1,2))&gt;$A17,0,INDEX('T&amp;D Capacity'!$E$4:$K$23,MATCH($A17,'T&amp;D Capacity'!$B$4:$B$23,FALSE),MATCH(EDC_NAME,'T&amp;D Capacity'!$E$3:$K$3,FALSE))),0)</f>
        <v>11.291759550184038</v>
      </c>
      <c r="L17" s="17">
        <f ca="1">IFERROR(IF(VALUE(RIGHT($B$1,2))&gt;$A17,0,INDEX('T&amp;D Capacity'!$E$28:$K$47,MATCH($A17,'T&amp;D Capacity'!$B$28:$B$47,FALSE),MATCH(EDC_NAME,'T&amp;D Capacity'!$E$27:$K$27,FALSE))),0)</f>
        <v>11.291759550184038</v>
      </c>
      <c r="M17" s="17">
        <f ca="1">IFERROR(IF(VALUE(RIGHT($B$1,2))&gt;$A17,0,INDEX('T&amp;D Capacity'!$M$4:$S$23,MATCH($A17,'T&amp;D Capacity'!$B$4:$B$23,FALSE),MATCH(EDC_NAME,'T&amp;D Capacity'!$M$3:$S$3,FALSE))),0)</f>
        <v>73.280775959561936</v>
      </c>
      <c r="N17" s="17">
        <f ca="1">IFERROR(IF(VALUE(RIGHT($B$1,2))&gt;$A17,0,INDEX('T&amp;D Capacity'!$M$28:$S$47,MATCH($A17,'T&amp;D Capacity'!$B$28:$B$47,FALSE),MATCH(EDC_NAME,'T&amp;D Capacity'!$M$27:$S$27,FALSE))),0)</f>
        <v>10.626220188540552</v>
      </c>
      <c r="O17" s="18">
        <f>IFERROR(IF(VALUE(RIGHT($B$1,2))&gt;$A17,0,IFERROR(AVERAGEIF('NG Futures'!$E:$E,$B17,'NG Futures'!$I:$I),"Data Missing")),0)</f>
        <v>4.5604826844447048</v>
      </c>
      <c r="P17" s="324"/>
      <c r="Q17" s="65"/>
    </row>
    <row r="18" spans="1:43" ht="15" customHeight="1" x14ac:dyDescent="0.2">
      <c r="A18" s="124">
        <f t="shared" si="0"/>
        <v>31</v>
      </c>
      <c r="B18" s="124">
        <f t="shared" si="0"/>
        <v>2040</v>
      </c>
      <c r="C18" s="122">
        <f ca="1">IFERROR(IF(VALUE(RIGHT($B$1,2))&gt;$A18,0,AVERAGEIFS(Elec_On_Peak, 'Avoided AC'!$D:$D, $B18, 'Avoided AC'!$E:$E, "Summer") +
        INDEX(AEPS!$S$8:$S$37, MATCH($A18, 'General Inputs'!$F$3:$F$32, 0)) +
        OFFSET(DRIPE!$I$10, MATCH('Output (non-LI)'!$B18, DRIPE!$I$11:$I$30, 0), MATCH('Output (non-LI)'!$B$1, DRIPE!$J$10:$N$10, 0), 1, 1)),"Data Missing")</f>
        <v>85.479707682739601</v>
      </c>
      <c r="D18" s="17">
        <f ca="1">IFERROR(IF(VALUE(RIGHT($B$1,2))&gt;$A18,0,AVERAGEIFS(Elec_Off_Peak, 'Avoided AC'!$D:$D, $B18, 'Avoided AC'!$E:$E, "Summer") +
        INDEX(AEPS!$S$8:$S$37, MATCH($A18, 'General Inputs'!$F$3:$F$32, 0)) +
        OFFSET(DRIPE!$I$10, MATCH('Output (non-LI)'!$B18, DRIPE!$I$11:$I$30, 0), MATCH('Output (non-LI)'!$B$1, DRIPE!$J$10:$N$10, 0), 1, 1)),"Data Missing")</f>
        <v>52.366886357321818</v>
      </c>
      <c r="E18" s="17">
        <f ca="1">IFERROR(IF(VALUE(RIGHT($B$1,2))&gt;$A18,0,AVERAGEIFS(Elec_On_Peak, 'Avoided AC'!$D:$D, $B18, 'Avoided AC'!$E:$E, "Winter") +
        INDEX(AEPS!$S$8:$S$37, MATCH($A18, 'General Inputs'!$F$3:$F$32, 0)) +
        OFFSET(DRIPE!$I$10, MATCH('Output (non-LI)'!$B18, DRIPE!$I$11:$I$30, 0), MATCH('Output (non-LI)'!$B$1, DRIPE!$J$10:$N$10, 0), 1, 1)),"Data Missing")</f>
        <v>104.0628250875676</v>
      </c>
      <c r="F18" s="17">
        <f ca="1">IFERROR(IF(VALUE(RIGHT($B$1,2))&gt;$A18,0,AVERAGEIFS(Elec_Off_Peak, 'Avoided AC'!$D:$D, $B18, 'Avoided AC'!$E:$E, "Winter") +
        INDEX(AEPS!$S$8:$S$37, MATCH($A18, 'General Inputs'!$F$3:$F$32, 0)) +
        OFFSET(DRIPE!$I$10, MATCH('Output (non-LI)'!$B18, DRIPE!$I$11:$I$30, 0), MATCH('Output (non-LI)'!$B$1, DRIPE!$J$10:$N$10, 0), 1, 1)),"Data Missing")</f>
        <v>85.280908790909052</v>
      </c>
      <c r="G18" s="17">
        <f ca="1">IFERROR(IF(VALUE(RIGHT($B$1,2))&gt;$A18,0,AVERAGEIFS(Elec_On_Peak, 'Avoided AC'!$D:$D, $B18, 'Avoided AC'!$E:$E, "Shoulder") +
        INDEX(AEPS!$S$8:$S$37, MATCH($A18, 'General Inputs'!$F$3:$F$32, 0)) +
        OFFSET(DRIPE!$I$10, MATCH('Output (non-LI)'!$B18, DRIPE!$I$11:$I$30, 0), MATCH('Output (non-LI)'!$B$1, DRIPE!$J$10:$N$10, 0), 1, 1)),"Data Missing")</f>
        <v>73.018103504248913</v>
      </c>
      <c r="H18" s="17">
        <f ca="1">IFERROR(IF(VALUE(RIGHT($B$1,2))&gt;$A18,0,AVERAGEIFS(Elec_Off_Peak, 'Avoided AC'!$D:$D, $B18, 'Avoided AC'!$E:$E, "Shoulder") +
        INDEX(AEPS!$S$8:$S$37, MATCH($A18, 'General Inputs'!$F$3:$F$32, 0)) +
        OFFSET(DRIPE!$I$10, MATCH('Output (non-LI)'!$B18, DRIPE!$I$11:$I$30, 0), MATCH('Output (non-LI)'!$B$1, DRIPE!$J$10:$N$10, 0), 1, 1)),"Data Missing")</f>
        <v>56.778908085368613</v>
      </c>
      <c r="I18" s="17">
        <f ca="1">(IF(VALUE(RIGHT($B$1,2))&gt;$A18,0,INDEX('Generation Capacity'!$E$27:$K$48,MATCH($A18,'Generation Capacity'!$B$27:$B$48,FALSE),MATCH(EDC_NAME,'Generation Capacity'!$E$26:$K$26,FALSE))+
        OFFSET(DRIPE!$B$35,MATCH('Output (non-LI)'!$B18,DRIPE!$B$11:$B$30,0),MATCH('Output (non-LI)'!$B$1,DRIPE!$C$10:$G$10,0),1,1)))</f>
        <v>33.244088006088298</v>
      </c>
      <c r="J18" s="17">
        <f ca="1">(IF(VALUE(RIGHT($B$1,2))&gt;$A18,0,INDEX('Generation Capacity'!$E$27:$K$48,MATCH($A18,'Generation Capacity'!$B$27:$B$48,FALSE),MATCH(EDC_NAME,'Generation Capacity'!$E$26:$K$26,FALSE))+
        OFFSET(DRIPE!$I$35,MATCH('Output (non-LI)'!$B18,DRIPE!$B$11:$B$30,0),MATCH('Output (non-LI)'!$B$1,DRIPE!$C$10:$G$10,0),1,1)))</f>
        <v>33.244088006088298</v>
      </c>
      <c r="K18" s="17">
        <f ca="1">IFERROR(IF(VALUE(RIGHT($B$1,2))&gt;$A18,0,INDEX('T&amp;D Capacity'!$E$4:$K$23,MATCH($A18,'T&amp;D Capacity'!$B$4:$B$23,FALSE),MATCH(EDC_NAME,'T&amp;D Capacity'!$E$3:$K$3,FALSE))),0)</f>
        <v>11.525673246394749</v>
      </c>
      <c r="L18" s="17">
        <f ca="1">IFERROR(IF(VALUE(RIGHT($B$1,2))&gt;$A18,0,INDEX('T&amp;D Capacity'!$E$28:$K$47,MATCH($A18,'T&amp;D Capacity'!$B$28:$B$47,FALSE),MATCH(EDC_NAME,'T&amp;D Capacity'!$E$27:$K$27,FALSE))),0)</f>
        <v>11.525673246394749</v>
      </c>
      <c r="M18" s="17">
        <f ca="1">IFERROR(IF(VALUE(RIGHT($B$1,2))&gt;$A18,0,INDEX('T&amp;D Capacity'!$M$4:$S$23,MATCH($A18,'T&amp;D Capacity'!$B$4:$B$23,FALSE),MATCH(EDC_NAME,'T&amp;D Capacity'!$M$3:$S$3,FALSE))),0)</f>
        <v>74.798819014739365</v>
      </c>
      <c r="N18" s="17">
        <f ca="1">IFERROR(IF(VALUE(RIGHT($B$1,2))&gt;$A18,0,INDEX('T&amp;D Capacity'!$M$28:$S$47,MATCH($A18,'T&amp;D Capacity'!$B$28:$B$47,FALSE),MATCH(EDC_NAME,'T&amp;D Capacity'!$M$27:$S$27,FALSE))),0)</f>
        <v>10.846346948236732</v>
      </c>
      <c r="O18" s="18">
        <f>IFERROR(IF(VALUE(RIGHT($B$1,2))&gt;$A18,0,IFERROR(AVERAGEIF('NG Futures'!$E:$E,$B18,'NG Futures'!$I:$I),"Data Missing")),0)</f>
        <v>4.5925300938202467</v>
      </c>
      <c r="P18" s="324"/>
      <c r="Q18" s="65"/>
    </row>
    <row r="19" spans="1:43" ht="15" customHeight="1" x14ac:dyDescent="0.2">
      <c r="A19" s="124">
        <f t="shared" si="0"/>
        <v>32</v>
      </c>
      <c r="B19" s="124">
        <f t="shared" si="0"/>
        <v>2041</v>
      </c>
      <c r="C19" s="122">
        <f ca="1">IFERROR(IF(VALUE(RIGHT($B$1,2))&gt;$A19,0,AVERAGEIFS(Elec_On_Peak, 'Avoided AC'!$D:$D, $B19, 'Avoided AC'!$E:$E, "Summer") +
        INDEX(AEPS!$S$8:$S$37, MATCH($A19, 'General Inputs'!$F$3:$F$32, 0)) +
        OFFSET(DRIPE!$I$10, MATCH('Output (non-LI)'!$B19, DRIPE!$I$11:$I$30, 0), MATCH('Output (non-LI)'!$B$1, DRIPE!$J$10:$N$10, 0), 1, 1)),"Data Missing")</f>
        <v>86.797941778981851</v>
      </c>
      <c r="D19" s="17">
        <f ca="1">IFERROR(IF(VALUE(RIGHT($B$1,2))&gt;$A19,0,AVERAGEIFS(Elec_Off_Peak, 'Avoided AC'!$D:$D, $B19, 'Avoided AC'!$E:$E, "Summer") +
        INDEX(AEPS!$S$8:$S$37, MATCH($A19, 'General Inputs'!$F$3:$F$32, 0)) +
        OFFSET(DRIPE!$I$10, MATCH('Output (non-LI)'!$B19, DRIPE!$I$11:$I$30, 0), MATCH('Output (non-LI)'!$B$1, DRIPE!$J$10:$N$10, 0), 1, 1)),"Data Missing")</f>
        <v>53.330166606061503</v>
      </c>
      <c r="E19" s="17">
        <f ca="1">IFERROR(IF(VALUE(RIGHT($B$1,2))&gt;$A19,0,AVERAGEIFS(Elec_On_Peak, 'Avoided AC'!$D:$D, $B19, 'Avoided AC'!$E:$E, "Winter") +
        INDEX(AEPS!$S$8:$S$37, MATCH($A19, 'General Inputs'!$F$3:$F$32, 0)) +
        OFFSET(DRIPE!$I$10, MATCH('Output (non-LI)'!$B19, DRIPE!$I$11:$I$30, 0), MATCH('Output (non-LI)'!$B$1, DRIPE!$J$10:$N$10, 0), 1, 1)),"Data Missing")</f>
        <v>107.01509738211125</v>
      </c>
      <c r="F19" s="17">
        <f ca="1">IFERROR(IF(VALUE(RIGHT($B$1,2))&gt;$A19,0,AVERAGEIFS(Elec_Off_Peak, 'Avoided AC'!$D:$D, $B19, 'Avoided AC'!$E:$E, "Winter") +
        INDEX(AEPS!$S$8:$S$37, MATCH($A19, 'General Inputs'!$F$3:$F$32, 0)) +
        OFFSET(DRIPE!$I$10, MATCH('Output (non-LI)'!$B19, DRIPE!$I$11:$I$30, 0), MATCH('Output (non-LI)'!$B$1, DRIPE!$J$10:$N$10, 0), 1, 1)),"Data Missing")</f>
        <v>87.369497666511606</v>
      </c>
      <c r="G19" s="17">
        <f ca="1">IFERROR(IF(VALUE(RIGHT($B$1,2))&gt;$A19,0,AVERAGEIFS(Elec_On_Peak, 'Avoided AC'!$D:$D, $B19, 'Avoided AC'!$E:$E, "Shoulder") +
        INDEX(AEPS!$S$8:$S$37, MATCH($A19, 'General Inputs'!$F$3:$F$32, 0)) +
        OFFSET(DRIPE!$I$10, MATCH('Output (non-LI)'!$B19, DRIPE!$I$11:$I$30, 0), MATCH('Output (non-LI)'!$B$1, DRIPE!$J$10:$N$10, 0), 1, 1)),"Data Missing")</f>
        <v>74.509477314631226</v>
      </c>
      <c r="H19" s="17">
        <f ca="1">IFERROR(IF(VALUE(RIGHT($B$1,2))&gt;$A19,0,AVERAGEIFS(Elec_Off_Peak, 'Avoided AC'!$D:$D, $B19, 'Avoided AC'!$E:$E, "Shoulder") +
        INDEX(AEPS!$S$8:$S$37, MATCH($A19, 'General Inputs'!$F$3:$F$32, 0)) +
        OFFSET(DRIPE!$I$10, MATCH('Output (non-LI)'!$B19, DRIPE!$I$11:$I$30, 0), MATCH('Output (non-LI)'!$B$1, DRIPE!$J$10:$N$10, 0), 1, 1)),"Data Missing")</f>
        <v>57.861423988560503</v>
      </c>
      <c r="I19" s="17">
        <f ca="1">(IF(VALUE(RIGHT($B$1,2))&gt;$A19,0,INDEX('Generation Capacity'!$E$27:$K$48,MATCH($A19,'Generation Capacity'!$B$27:$B$48,FALSE),MATCH(EDC_NAME,'Generation Capacity'!$E$26:$K$26,FALSE))+
        OFFSET(DRIPE!$B$35,MATCH('Output (non-LI)'!$B19,DRIPE!$B$11:$B$30,0),MATCH('Output (non-LI)'!$B$1,DRIPE!$C$10:$G$10,0),1,1)))</f>
        <v>33.932753706778989</v>
      </c>
      <c r="J19" s="17">
        <f ca="1">(IF(VALUE(RIGHT($B$1,2))&gt;$A19,0,INDEX('Generation Capacity'!$E$27:$K$48,MATCH($A19,'Generation Capacity'!$B$27:$B$48,FALSE),MATCH(EDC_NAME,'Generation Capacity'!$E$26:$K$26,FALSE))+
        OFFSET(DRIPE!$I$35,MATCH('Output (non-LI)'!$B19,DRIPE!$B$11:$B$30,0),MATCH('Output (non-LI)'!$B$1,DRIPE!$C$10:$G$10,0),1,1)))</f>
        <v>33.932753706778989</v>
      </c>
      <c r="K19" s="17">
        <f ca="1">IFERROR(IF(VALUE(RIGHT($B$1,2))&gt;$A19,0,INDEX('T&amp;D Capacity'!$E$4:$K$23,MATCH($A19,'T&amp;D Capacity'!$B$4:$B$23,FALSE),MATCH(EDC_NAME,'T&amp;D Capacity'!$E$3:$K$3,FALSE))),0)</f>
        <v>11.76443256626861</v>
      </c>
      <c r="L19" s="17">
        <f ca="1">IFERROR(IF(VALUE(RIGHT($B$1,2))&gt;$A19,0,INDEX('T&amp;D Capacity'!$E$28:$K$47,MATCH($A19,'T&amp;D Capacity'!$B$28:$B$47,FALSE),MATCH(EDC_NAME,'T&amp;D Capacity'!$E$27:$K$27,FALSE))),0)</f>
        <v>11.76443256626861</v>
      </c>
      <c r="M19" s="17">
        <f ca="1">IFERROR(IF(VALUE(RIGHT($B$1,2))&gt;$A19,0,INDEX('T&amp;D Capacity'!$M$4:$S$23,MATCH($A19,'T&amp;D Capacity'!$B$4:$B$23,FALSE),MATCH(EDC_NAME,'T&amp;D Capacity'!$M$3:$S$3,FALSE))),0)</f>
        <v>76.34830899016562</v>
      </c>
      <c r="N19" s="17">
        <f ca="1">IFERROR(IF(VALUE(RIGHT($B$1,2))&gt;$A19,0,INDEX('T&amp;D Capacity'!$M$28:$S$47,MATCH($A19,'T&amp;D Capacity'!$B$28:$B$47,FALSE),MATCH(EDC_NAME,'T&amp;D Capacity'!$M$27:$S$27,FALSE))),0)</f>
        <v>11.071033729226899</v>
      </c>
      <c r="O19" s="18">
        <f>IFERROR(IF(VALUE(RIGHT($B$1,2))&gt;$A19,0,IFERROR(AVERAGEIF('NG Futures'!$E:$E,$B19,'NG Futures'!$I:$I),"Data Missing")),0)</f>
        <v>4.7381632505640319</v>
      </c>
      <c r="P19" s="324"/>
      <c r="Q19" s="65"/>
    </row>
    <row r="20" spans="1:43" ht="15" customHeight="1" x14ac:dyDescent="0.2">
      <c r="A20" s="124">
        <f t="shared" si="0"/>
        <v>33</v>
      </c>
      <c r="B20" s="124">
        <f t="shared" si="0"/>
        <v>2042</v>
      </c>
      <c r="C20" s="122">
        <f ca="1">IFERROR(IF(VALUE(RIGHT($B$1,2))&gt;$A20,0,AVERAGEIFS(Elec_On_Peak, 'Avoided AC'!$D:$D, $B20, 'Avoided AC'!$E:$E, "Summer") +
        INDEX(AEPS!$S$8:$S$37, MATCH($A20, 'General Inputs'!$F$3:$F$32, 0)) +
        OFFSET(DRIPE!$I$10, MATCH('Output (non-LI)'!$B20, DRIPE!$I$11:$I$30, 0), MATCH('Output (non-LI)'!$B$1, DRIPE!$J$10:$N$10, 0), 1, 1)),"Data Missing")</f>
        <v>88.253494372988698</v>
      </c>
      <c r="D20" s="17">
        <f ca="1">IFERROR(IF(VALUE(RIGHT($B$1,2))&gt;$A20,0,AVERAGEIFS(Elec_Off_Peak, 'Avoided AC'!$D:$D, $B20, 'Avoided AC'!$E:$E, "Summer") +
        INDEX(AEPS!$S$8:$S$37, MATCH($A20, 'General Inputs'!$F$3:$F$32, 0)) +
        OFFSET(DRIPE!$I$10, MATCH('Output (non-LI)'!$B20, DRIPE!$I$11:$I$30, 0), MATCH('Output (non-LI)'!$B$1, DRIPE!$J$10:$N$10, 0), 1, 1)),"Data Missing")</f>
        <v>54.389122721346112</v>
      </c>
      <c r="E20" s="17">
        <f ca="1">IFERROR(IF(VALUE(RIGHT($B$1,2))&gt;$A20,0,AVERAGEIFS(Elec_On_Peak, 'Avoided AC'!$D:$D, $B20, 'Avoided AC'!$E:$E, "Winter") +
        INDEX(AEPS!$S$8:$S$37, MATCH($A20, 'General Inputs'!$F$3:$F$32, 0)) +
        OFFSET(DRIPE!$I$10, MATCH('Output (non-LI)'!$B20, DRIPE!$I$11:$I$30, 0), MATCH('Output (non-LI)'!$B$1, DRIPE!$J$10:$N$10, 0), 1, 1)),"Data Missing")</f>
        <v>110.29639098471289</v>
      </c>
      <c r="F20" s="17">
        <f ca="1">IFERROR(IF(VALUE(RIGHT($B$1,2))&gt;$A20,0,AVERAGEIFS(Elec_Off_Peak, 'Avoided AC'!$D:$D, $B20, 'Avoided AC'!$E:$E, "Winter") +
        INDEX(AEPS!$S$8:$S$37, MATCH($A20, 'General Inputs'!$F$3:$F$32, 0)) +
        OFFSET(DRIPE!$I$10, MATCH('Output (non-LI)'!$B20, DRIPE!$I$11:$I$30, 0), MATCH('Output (non-LI)'!$B$1, DRIPE!$J$10:$N$10, 0), 1, 1)),"Data Missing")</f>
        <v>89.685781859881985</v>
      </c>
      <c r="G20" s="17">
        <f ca="1">IFERROR(IF(VALUE(RIGHT($B$1,2))&gt;$A20,0,AVERAGEIFS(Elec_On_Peak, 'Avoided AC'!$D:$D, $B20, 'Avoided AC'!$E:$E, "Shoulder") +
        INDEX(AEPS!$S$8:$S$37, MATCH($A20, 'General Inputs'!$F$3:$F$32, 0)) +
        OFFSET(DRIPE!$I$10, MATCH('Output (non-LI)'!$B20, DRIPE!$I$11:$I$30, 0), MATCH('Output (non-LI)'!$B$1, DRIPE!$J$10:$N$10, 0), 1, 1)),"Data Missing")</f>
        <v>76.158482103727863</v>
      </c>
      <c r="H20" s="17">
        <f ca="1">IFERROR(IF(VALUE(RIGHT($B$1,2))&gt;$A20,0,AVERAGEIFS(Elec_Off_Peak, 'Avoided AC'!$D:$D, $B20, 'Avoided AC'!$E:$E, "Shoulder") +
        INDEX(AEPS!$S$8:$S$37, MATCH($A20, 'General Inputs'!$F$3:$F$32, 0)) +
        OFFSET(DRIPE!$I$10, MATCH('Output (non-LI)'!$B20, DRIPE!$I$11:$I$30, 0), MATCH('Output (non-LI)'!$B$1, DRIPE!$J$10:$N$10, 0), 1, 1)),"Data Missing")</f>
        <v>59.053604299121794</v>
      </c>
      <c r="I20" s="17">
        <f ca="1">(IF(VALUE(RIGHT($B$1,2))&gt;$A20,0,INDEX('Generation Capacity'!$E$27:$K$48,MATCH($A20,'Generation Capacity'!$B$27:$B$48,FALSE),MATCH(EDC_NAME,'Generation Capacity'!$E$26:$K$26,FALSE))+
        OFFSET(DRIPE!$B$35,MATCH('Output (non-LI)'!$B20,DRIPE!$B$11:$B$30,0),MATCH('Output (non-LI)'!$B$1,DRIPE!$C$10:$G$10,0),1,1)))</f>
        <v>34.635685416127252</v>
      </c>
      <c r="J20" s="17">
        <f ca="1">(IF(VALUE(RIGHT($B$1,2))&gt;$A20,0,INDEX('Generation Capacity'!$E$27:$K$48,MATCH($A20,'Generation Capacity'!$B$27:$B$48,FALSE),MATCH(EDC_NAME,'Generation Capacity'!$E$26:$K$26,FALSE))+
        OFFSET(DRIPE!$I$35,MATCH('Output (non-LI)'!$B20,DRIPE!$B$11:$B$30,0),MATCH('Output (non-LI)'!$B$1,DRIPE!$C$10:$G$10,0),1,1)))</f>
        <v>34.635685416127252</v>
      </c>
      <c r="K20" s="17">
        <f ca="1">IFERROR(IF(VALUE(RIGHT($B$1,2))&gt;$A20,0,INDEX('T&amp;D Capacity'!$E$4:$K$23,MATCH($A20,'T&amp;D Capacity'!$B$4:$B$23,FALSE),MATCH(EDC_NAME,'T&amp;D Capacity'!$E$3:$K$3,FALSE))),0)</f>
        <v>12.008137889001302</v>
      </c>
      <c r="L20" s="17">
        <f ca="1">IFERROR(IF(VALUE(RIGHT($B$1,2))&gt;$A20,0,INDEX('T&amp;D Capacity'!$E$28:$K$47,MATCH($A20,'T&amp;D Capacity'!$B$28:$B$47,FALSE),MATCH(EDC_NAME,'T&amp;D Capacity'!$E$27:$K$27,FALSE))),0)</f>
        <v>12.008137889001302</v>
      </c>
      <c r="M20" s="17">
        <f ca="1">IFERROR(IF(VALUE(RIGHT($B$1,2))&gt;$A20,0,INDEX('T&amp;D Capacity'!$M$4:$S$23,MATCH($A20,'T&amp;D Capacity'!$B$4:$B$23,FALSE),MATCH(EDC_NAME,'T&amp;D Capacity'!$M$3:$S$3,FALSE))),0)</f>
        <v>77.929897322431884</v>
      </c>
      <c r="N20" s="17">
        <f ca="1">IFERROR(IF(VALUE(RIGHT($B$1,2))&gt;$A20,0,INDEX('T&amp;D Capacity'!$M$28:$S$47,MATCH($A20,'T&amp;D Capacity'!$B$28:$B$47,FALSE),MATCH(EDC_NAME,'T&amp;D Capacity'!$M$27:$S$27,FALSE))),0)</f>
        <v>11.300374994329797</v>
      </c>
      <c r="O20" s="18">
        <f>IFERROR(IF(VALUE(RIGHT($B$1,2))&gt;$A20,0,IFERROR(AVERAGEIF('NG Futures'!$E:$E,$B20,'NG Futures'!$I:$I),"Data Missing")),0)</f>
        <v>4.9008818618881964</v>
      </c>
      <c r="P20" s="324"/>
      <c r="Q20" s="65"/>
    </row>
    <row r="21" spans="1:43" ht="15" customHeight="1" x14ac:dyDescent="0.2">
      <c r="A21" s="124">
        <f t="shared" si="0"/>
        <v>34</v>
      </c>
      <c r="B21" s="124">
        <f t="shared" si="0"/>
        <v>2043</v>
      </c>
      <c r="C21" s="122">
        <f ca="1">IFERROR(IF(VALUE(RIGHT($B$1,2))&gt;$A21,0,AVERAGEIFS(Elec_On_Peak, 'Avoided AC'!$D:$D, $B21, 'Avoided AC'!$E:$E, "Summer") +
        INDEX(AEPS!$S$8:$S$37, MATCH($A21, 'General Inputs'!$F$3:$F$32, 0)) +
        OFFSET(DRIPE!$I$10, MATCH('Output (non-LI)'!$B21, DRIPE!$I$11:$I$30, 0), MATCH('Output (non-LI)'!$B$1, DRIPE!$J$10:$N$10, 0), 1, 1)),"Data Missing")</f>
        <v>89.750447311801722</v>
      </c>
      <c r="D21" s="17">
        <f ca="1">IFERROR(IF(VALUE(RIGHT($B$1,2))&gt;$A21,0,AVERAGEIFS(Elec_Off_Peak, 'Avoided AC'!$D:$D, $B21, 'Avoided AC'!$E:$E, "Summer") +
        INDEX(AEPS!$S$8:$S$37, MATCH($A21, 'General Inputs'!$F$3:$F$32, 0)) +
        OFFSET(DRIPE!$I$10, MATCH('Output (non-LI)'!$B21, DRIPE!$I$11:$I$30, 0), MATCH('Output (non-LI)'!$B$1, DRIPE!$J$10:$N$10, 0), 1, 1)),"Data Missing")</f>
        <v>55.47772119275929</v>
      </c>
      <c r="E21" s="17">
        <f ca="1">IFERROR(IF(VALUE(RIGHT($B$1,2))&gt;$A21,0,AVERAGEIFS(Elec_On_Peak, 'Avoided AC'!$D:$D, $B21, 'Avoided AC'!$E:$E, "Winter") +
        INDEX(AEPS!$S$8:$S$37, MATCH($A21, 'General Inputs'!$F$3:$F$32, 0)) +
        OFFSET(DRIPE!$I$10, MATCH('Output (non-LI)'!$B21, DRIPE!$I$11:$I$30, 0), MATCH('Output (non-LI)'!$B$1, DRIPE!$J$10:$N$10, 0), 1, 1)),"Data Missing")</f>
        <v>113.6732131033452</v>
      </c>
      <c r="F21" s="17">
        <f ca="1">IFERROR(IF(VALUE(RIGHT($B$1,2))&gt;$A21,0,AVERAGEIFS(Elec_Off_Peak, 'Avoided AC'!$D:$D, $B21, 'Avoided AC'!$E:$E, "Winter") +
        INDEX(AEPS!$S$8:$S$37, MATCH($A21, 'General Inputs'!$F$3:$F$32, 0)) +
        OFFSET(DRIPE!$I$10, MATCH('Output (non-LI)'!$B21, DRIPE!$I$11:$I$30, 0), MATCH('Output (non-LI)'!$B$1, DRIPE!$J$10:$N$10, 0), 1, 1)),"Data Missing")</f>
        <v>92.068984709346594</v>
      </c>
      <c r="G21" s="17">
        <f ca="1">IFERROR(IF(VALUE(RIGHT($B$1,2))&gt;$A21,0,AVERAGEIFS(Elec_On_Peak, 'Avoided AC'!$D:$D, $B21, 'Avoided AC'!$E:$E, "Shoulder") +
        INDEX(AEPS!$S$8:$S$37, MATCH($A21, 'General Inputs'!$F$3:$F$32, 0)) +
        OFFSET(DRIPE!$I$10, MATCH('Output (non-LI)'!$B21, DRIPE!$I$11:$I$30, 0), MATCH('Output (non-LI)'!$B$1, DRIPE!$J$10:$N$10, 0), 1, 1)),"Data Missing")</f>
        <v>77.854622560160081</v>
      </c>
      <c r="H21" s="17">
        <f ca="1">IFERROR(IF(VALUE(RIGHT($B$1,2))&gt;$A21,0,AVERAGEIFS(Elec_Off_Peak, 'Avoided AC'!$D:$D, $B21, 'Avoided AC'!$E:$E, "Shoulder") +
        INDEX(AEPS!$S$8:$S$37, MATCH($A21, 'General Inputs'!$F$3:$F$32, 0)) +
        OFFSET(DRIPE!$I$10, MATCH('Output (non-LI)'!$B21, DRIPE!$I$11:$I$30, 0), MATCH('Output (non-LI)'!$B$1, DRIPE!$J$10:$N$10, 0), 1, 1)),"Data Missing")</f>
        <v>60.279376694726778</v>
      </c>
      <c r="I21" s="17">
        <f ca="1">(IF(VALUE(RIGHT($B$1,2))&gt;$A21,0,INDEX('Generation Capacity'!$E$27:$K$48,MATCH($A21,'Generation Capacity'!$B$27:$B$48,FALSE),MATCH(EDC_NAME,'Generation Capacity'!$E$26:$K$26,FALSE))+
        OFFSET(DRIPE!$B$35,MATCH('Output (non-LI)'!$B21,DRIPE!$B$11:$B$30,0),MATCH('Output (non-LI)'!$B$1,DRIPE!$C$10:$G$10,0),1,1)))</f>
        <v>35.353178660689451</v>
      </c>
      <c r="J21" s="17">
        <f ca="1">(IF(VALUE(RIGHT($B$1,2))&gt;$A21,0,INDEX('Generation Capacity'!$E$27:$K$48,MATCH($A21,'Generation Capacity'!$B$27:$B$48,FALSE),MATCH(EDC_NAME,'Generation Capacity'!$E$26:$K$26,FALSE))+
        OFFSET(DRIPE!$I$35,MATCH('Output (non-LI)'!$B21,DRIPE!$B$11:$B$30,0),MATCH('Output (non-LI)'!$B$1,DRIPE!$C$10:$G$10,0),1,1)))</f>
        <v>35.353178660689451</v>
      </c>
      <c r="K21" s="17">
        <f ca="1">IFERROR(IF(VALUE(RIGHT($B$1,2))&gt;$A21,0,INDEX('T&amp;D Capacity'!$E$4:$K$23,MATCH($A21,'T&amp;D Capacity'!$B$4:$B$23,FALSE),MATCH(EDC_NAME,'T&amp;D Capacity'!$E$3:$K$3,FALSE))),0)</f>
        <v>12.256891673187081</v>
      </c>
      <c r="L21" s="17">
        <f ca="1">IFERROR(IF(VALUE(RIGHT($B$1,2))&gt;$A21,0,INDEX('T&amp;D Capacity'!$E$28:$K$47,MATCH($A21,'T&amp;D Capacity'!$B$28:$B$47,FALSE),MATCH(EDC_NAME,'T&amp;D Capacity'!$E$27:$K$27,FALSE))),0)</f>
        <v>12.256891673187081</v>
      </c>
      <c r="M21" s="17">
        <f ca="1">IFERROR(IF(VALUE(RIGHT($B$1,2))&gt;$A21,0,INDEX('T&amp;D Capacity'!$M$4:$S$23,MATCH($A21,'T&amp;D Capacity'!$B$4:$B$23,FALSE),MATCH(EDC_NAME,'T&amp;D Capacity'!$M$3:$S$3,FALSE))),0)</f>
        <v>79.544248942920845</v>
      </c>
      <c r="N21" s="17">
        <f ca="1">IFERROR(IF(VALUE(RIGHT($B$1,2))&gt;$A21,0,INDEX('T&amp;D Capacity'!$M$28:$S$47,MATCH($A21,'T&amp;D Capacity'!$B$28:$B$47,FALSE),MATCH(EDC_NAME,'T&amp;D Capacity'!$M$27:$S$27,FALSE))),0)</f>
        <v>11.534467163202425</v>
      </c>
      <c r="O21" s="18">
        <f>IFERROR(IF(VALUE(RIGHT($B$1,2))&gt;$A21,0,IFERROR(AVERAGEIF('NG Futures'!$E:$E,$B21,'NG Futures'!$I:$I),"Data Missing")),0)</f>
        <v>5.0684246299869011</v>
      </c>
      <c r="P21" s="324"/>
      <c r="Q21" s="65"/>
    </row>
    <row r="22" spans="1:43" ht="15" customHeight="1" x14ac:dyDescent="0.2">
      <c r="A22" s="124">
        <f t="shared" si="0"/>
        <v>35</v>
      </c>
      <c r="B22" s="124">
        <f t="shared" si="0"/>
        <v>2044</v>
      </c>
      <c r="C22" s="122">
        <f ca="1">IFERROR(IF(VALUE(RIGHT($B$1,2))&gt;$A22,0,AVERAGEIFS(Elec_On_Peak, 'Avoided AC'!$D:$D, $B22, 'Avoided AC'!$E:$E, "Summer") +
        INDEX(AEPS!$S$8:$S$37, MATCH($A22, 'General Inputs'!$F$3:$F$32, 0)) +
        OFFSET(DRIPE!$I$10, MATCH('Output (non-LI)'!$B22, DRIPE!$I$11:$I$30, 0), MATCH('Output (non-LI)'!$B$1, DRIPE!$J$10:$N$10, 0), 1, 1)),"Data Missing")</f>
        <v>90.771671891321404</v>
      </c>
      <c r="D22" s="17">
        <f ca="1">IFERROR(IF(VALUE(RIGHT($B$1,2))&gt;$A22,0,AVERAGEIFS(Elec_Off_Peak, 'Avoided AC'!$D:$D, $B22, 'Avoided AC'!$E:$E, "Summer") +
        INDEX(AEPS!$S$8:$S$37, MATCH($A22, 'General Inputs'!$F$3:$F$32, 0)) +
        OFFSET(DRIPE!$I$10, MATCH('Output (non-LI)'!$B22, DRIPE!$I$11:$I$30, 0), MATCH('Output (non-LI)'!$B$1, DRIPE!$J$10:$N$10, 0), 1, 1)),"Data Missing")</f>
        <v>56.239855032725217</v>
      </c>
      <c r="E22" s="17">
        <f ca="1">IFERROR(IF(VALUE(RIGHT($B$1,2))&gt;$A22,0,AVERAGEIFS(Elec_On_Peak, 'Avoided AC'!$D:$D, $B22, 'Avoided AC'!$E:$E, "Winter") +
        INDEX(AEPS!$S$8:$S$37, MATCH($A22, 'General Inputs'!$F$3:$F$32, 0)) +
        OFFSET(DRIPE!$I$10, MATCH('Output (non-LI)'!$B22, DRIPE!$I$11:$I$30, 0), MATCH('Output (non-LI)'!$B$1, DRIPE!$J$10:$N$10, 0), 1, 1)),"Data Missing")</f>
        <v>115.88716785957854</v>
      </c>
      <c r="F22" s="17">
        <f ca="1">IFERROR(IF(VALUE(RIGHT($B$1,2))&gt;$A22,0,AVERAGEIFS(Elec_Off_Peak, 'Avoided AC'!$D:$D, $B22, 'Avoided AC'!$E:$E, "Winter") +
        INDEX(AEPS!$S$8:$S$37, MATCH($A22, 'General Inputs'!$F$3:$F$32, 0)) +
        OFFSET(DRIPE!$I$10, MATCH('Output (non-LI)'!$B22, DRIPE!$I$11:$I$30, 0), MATCH('Output (non-LI)'!$B$1, DRIPE!$J$10:$N$10, 0), 1, 1)),"Data Missing")</f>
        <v>93.65251278524336</v>
      </c>
      <c r="G22" s="17">
        <f ca="1">IFERROR(IF(VALUE(RIGHT($B$1,2))&gt;$A22,0,AVERAGEIFS(Elec_On_Peak, 'Avoided AC'!$D:$D, $B22, 'Avoided AC'!$E:$E, "Shoulder") +
        INDEX(AEPS!$S$8:$S$37, MATCH($A22, 'General Inputs'!$F$3:$F$32, 0)) +
        OFFSET(DRIPE!$I$10, MATCH('Output (non-LI)'!$B22, DRIPE!$I$11:$I$30, 0), MATCH('Output (non-LI)'!$B$1, DRIPE!$J$10:$N$10, 0), 1, 1)),"Data Missing")</f>
        <v>79.002226658871592</v>
      </c>
      <c r="H22" s="17">
        <f ca="1">IFERROR(IF(VALUE(RIGHT($B$1,2))&gt;$A22,0,AVERAGEIFS(Elec_Off_Peak, 'Avoided AC'!$D:$D, $B22, 'Avoided AC'!$E:$E, "Shoulder") +
        INDEX(AEPS!$S$8:$S$37, MATCH($A22, 'General Inputs'!$F$3:$F$32, 0)) +
        OFFSET(DRIPE!$I$10, MATCH('Output (non-LI)'!$B22, DRIPE!$I$11:$I$30, 0), MATCH('Output (non-LI)'!$B$1, DRIPE!$J$10:$N$10, 0), 1, 1)),"Data Missing")</f>
        <v>61.128543973294818</v>
      </c>
      <c r="I22" s="17">
        <f ca="1">(IF(VALUE(RIGHT($B$1,2))&gt;$A22,0,INDEX('Generation Capacity'!$E$27:$K$48,MATCH($A22,'Generation Capacity'!$B$27:$B$48,FALSE),MATCH(EDC_NAME,'Generation Capacity'!$E$26:$K$26,FALSE))+
        OFFSET(DRIPE!$B$35,MATCH('Output (non-LI)'!$B22,DRIPE!$B$11:$B$30,0),MATCH('Output (non-LI)'!$B$1,DRIPE!$C$10:$G$10,0),1,1)))</f>
        <v>36.085535088982752</v>
      </c>
      <c r="J22" s="17">
        <f ca="1">(IF(VALUE(RIGHT($B$1,2))&gt;$A22,0,INDEX('Generation Capacity'!$E$27:$K$48,MATCH($A22,'Generation Capacity'!$B$27:$B$48,FALSE),MATCH(EDC_NAME,'Generation Capacity'!$E$26:$K$26,FALSE))+
        OFFSET(DRIPE!$I$35,MATCH('Output (non-LI)'!$B22,DRIPE!$B$11:$B$30,0),MATCH('Output (non-LI)'!$B$1,DRIPE!$C$10:$G$10,0),1,1)))</f>
        <v>36.085535088982752</v>
      </c>
      <c r="K22" s="17">
        <f ca="1">IFERROR(IF(VALUE(RIGHT($B$1,2))&gt;$A22,0,INDEX('T&amp;D Capacity'!$E$4:$K$23,MATCH($A22,'T&amp;D Capacity'!$B$4:$B$23,FALSE),MATCH(EDC_NAME,'T&amp;D Capacity'!$E$3:$K$3,FALSE))),0)</f>
        <v>12.510798499894417</v>
      </c>
      <c r="L22" s="17">
        <f ca="1">IFERROR(IF(VALUE(RIGHT($B$1,2))&gt;$A22,0,INDEX('T&amp;D Capacity'!$E$28:$K$47,MATCH($A22,'T&amp;D Capacity'!$B$28:$B$47,FALSE),MATCH(EDC_NAME,'T&amp;D Capacity'!$E$27:$K$27,FALSE))),0)</f>
        <v>12.510798499894417</v>
      </c>
      <c r="M22" s="17">
        <f ca="1">IFERROR(IF(VALUE(RIGHT($B$1,2))&gt;$A22,0,INDEX('T&amp;D Capacity'!$M$4:$S$23,MATCH($A22,'T&amp;D Capacity'!$B$4:$B$23,FALSE),MATCH(EDC_NAME,'T&amp;D Capacity'!$M$3:$S$3,FALSE))),0)</f>
        <v>81.192042557357169</v>
      </c>
      <c r="N22" s="17">
        <f ca="1">IFERROR(IF(VALUE(RIGHT($B$1,2))&gt;$A22,0,INDEX('T&amp;D Capacity'!$M$28:$S$47,MATCH($A22,'T&amp;D Capacity'!$B$28:$B$47,FALSE),MATCH(EDC_NAME,'T&amp;D Capacity'!$M$27:$S$27,FALSE))),0)</f>
        <v>11.773408652876794</v>
      </c>
      <c r="O22" s="18">
        <f>IFERROR(IF(VALUE(RIGHT($B$1,2))&gt;$A22,0,IFERROR(AVERAGEIF('NG Futures'!$E:$E,$B22,'NG Futures'!$I:$I),"Data Missing")),0)</f>
        <v>5.1747263437160846</v>
      </c>
      <c r="P22" s="324"/>
      <c r="Q22" s="65"/>
    </row>
    <row r="23" spans="1:43" ht="15" customHeight="1" x14ac:dyDescent="0.2">
      <c r="A23" s="124">
        <f t="shared" ref="A23:B24" si="1">A22+1</f>
        <v>36</v>
      </c>
      <c r="B23" s="124">
        <f t="shared" si="1"/>
        <v>2045</v>
      </c>
      <c r="C23" s="122">
        <f ca="1">IFERROR(IF(VALUE(RIGHT($B$1,2))&gt;$A23,0,AVERAGEIFS(Elec_On_Peak, 'Avoided AC'!$D:$D, $B23, 'Avoided AC'!$E:$E, "Summer") +
        INDEX(AEPS!$S$8:$S$37, MATCH($A23, 'General Inputs'!$F$3:$F$32, 0)) +
        OFFSET(DRIPE!$I$10, MATCH('Output (non-LI)'!$B23, DRIPE!$I$11:$I$30, 0), MATCH('Output (non-LI)'!$B$1, DRIPE!$J$10:$N$10, 0), 1, 1)),"Data Missing")</f>
        <v>91.55629291318408</v>
      </c>
      <c r="D23" s="17">
        <f ca="1">IFERROR(IF(VALUE(RIGHT($B$1,2))&gt;$A23,0,AVERAGEIFS(Elec_Off_Peak, 'Avoided AC'!$D:$D, $B23, 'Avoided AC'!$E:$E, "Summer") +
        INDEX(AEPS!$S$8:$S$37, MATCH($A23, 'General Inputs'!$F$3:$F$32, 0)) +
        OFFSET(DRIPE!$I$10, MATCH('Output (non-LI)'!$B23, DRIPE!$I$11:$I$30, 0), MATCH('Output (non-LI)'!$B$1, DRIPE!$J$10:$N$10, 0), 1, 1)),"Data Missing")</f>
        <v>56.840224744224557</v>
      </c>
      <c r="E23" s="17">
        <f ca="1">IFERROR(IF(VALUE(RIGHT($B$1,2))&gt;$A23,0,AVERAGEIFS(Elec_On_Peak, 'Avoided AC'!$D:$D, $B23, 'Avoided AC'!$E:$E, "Winter") +
        INDEX(AEPS!$S$8:$S$37, MATCH($A23, 'General Inputs'!$F$3:$F$32, 0)) +
        OFFSET(DRIPE!$I$10, MATCH('Output (non-LI)'!$B23, DRIPE!$I$11:$I$30, 0), MATCH('Output (non-LI)'!$B$1, DRIPE!$J$10:$N$10, 0), 1, 1)),"Data Missing")</f>
        <v>117.51999402512153</v>
      </c>
      <c r="F23" s="17">
        <f ca="1">IFERROR(IF(VALUE(RIGHT($B$1,2))&gt;$A23,0,AVERAGEIFS(Elec_Off_Peak, 'Avoided AC'!$D:$D, $B23, 'Avoided AC'!$E:$E, "Winter") +
        INDEX(AEPS!$S$8:$S$37, MATCH($A23, 'General Inputs'!$F$3:$F$32, 0)) +
        OFFSET(DRIPE!$I$10, MATCH('Output (non-LI)'!$B23, DRIPE!$I$11:$I$30, 0), MATCH('Output (non-LI)'!$B$1, DRIPE!$J$10:$N$10, 0), 1, 1)),"Data Missing")</f>
        <v>94.837013618356096</v>
      </c>
      <c r="G23" s="17">
        <f ca="1">IFERROR(IF(VALUE(RIGHT($B$1,2))&gt;$A23,0,AVERAGEIFS(Elec_On_Peak, 'Avoided AC'!$D:$D, $B23, 'Avoided AC'!$E:$E, "Shoulder") +
        INDEX(AEPS!$S$8:$S$37, MATCH($A23, 'General Inputs'!$F$3:$F$32, 0)) +
        OFFSET(DRIPE!$I$10, MATCH('Output (non-LI)'!$B23, DRIPE!$I$11:$I$30, 0), MATCH('Output (non-LI)'!$B$1, DRIPE!$J$10:$N$10, 0), 1, 1)),"Data Missing")</f>
        <v>79.87672195433548</v>
      </c>
      <c r="H23" s="17">
        <f ca="1">IFERROR(IF(VALUE(RIGHT($B$1,2))&gt;$A23,0,AVERAGEIFS(Elec_Off_Peak, 'Avoided AC'!$D:$D, $B23, 'Avoided AC'!$E:$E, "Shoulder") +
        INDEX(AEPS!$S$8:$S$37, MATCH($A23, 'General Inputs'!$F$3:$F$32, 0)) +
        OFFSET(DRIPE!$I$10, MATCH('Output (non-LI)'!$B23, DRIPE!$I$11:$I$30, 0), MATCH('Output (non-LI)'!$B$1, DRIPE!$J$10:$N$10, 0), 1, 1)),"Data Missing")</f>
        <v>61.79080715553529</v>
      </c>
      <c r="I23" s="17">
        <f ca="1">(IF(VALUE(RIGHT($B$1,2))&gt;$A23,0,INDEX('Generation Capacity'!$E$27:$K$48,MATCH($A23,'Generation Capacity'!$B$27:$B$48,FALSE),MATCH(EDC_NAME,'Generation Capacity'!$E$26:$K$26,FALSE))+
        OFFSET(DRIPE!$B$35,MATCH('Output (non-LI)'!$B23,DRIPE!$B$11:$B$30,0),MATCH('Output (non-LI)'!$B$1,DRIPE!$C$10:$G$10,0),1,1)))</f>
        <v>36.83306259830416</v>
      </c>
      <c r="J23" s="17">
        <f ca="1">(IF(VALUE(RIGHT($B$1,2))&gt;$A23,0,INDEX('Generation Capacity'!$E$27:$K$48,MATCH($A23,'Generation Capacity'!$B$27:$B$48,FALSE),MATCH(EDC_NAME,'Generation Capacity'!$E$26:$K$26,FALSE))+
        OFFSET(DRIPE!$I$35,MATCH('Output (non-LI)'!$B23,DRIPE!$B$11:$B$30,0),MATCH('Output (non-LI)'!$B$1,DRIPE!$C$10:$G$10,0),1,1)))</f>
        <v>36.83306259830416</v>
      </c>
      <c r="K23" s="17">
        <f ca="1">IFERROR(IF(VALUE(RIGHT($B$1,2))&gt;$A23,0,INDEX('T&amp;D Capacity'!$E$4:$K$23,MATCH($A23,'T&amp;D Capacity'!$B$4:$B$23,FALSE),MATCH(EDC_NAME,'T&amp;D Capacity'!$E$3:$K$3,FALSE))),0)</f>
        <v>12.769965116633969</v>
      </c>
      <c r="L23" s="17">
        <f ca="1">IFERROR(IF(VALUE(RIGHT($B$1,2))&gt;$A23,0,INDEX('T&amp;D Capacity'!$E$28:$K$47,MATCH($A23,'T&amp;D Capacity'!$B$28:$B$47,FALSE),MATCH(EDC_NAME,'T&amp;D Capacity'!$E$27:$K$27,FALSE))),0)</f>
        <v>12.769965116633969</v>
      </c>
      <c r="M23" s="17">
        <f ca="1">IFERROR(IF(VALUE(RIGHT($B$1,2))&gt;$A23,0,INDEX('T&amp;D Capacity'!$M$4:$S$23,MATCH($A23,'T&amp;D Capacity'!$B$4:$B$23,FALSE),MATCH(EDC_NAME,'T&amp;D Capacity'!$M$3:$S$3,FALSE))),0)</f>
        <v>82.873970931148946</v>
      </c>
      <c r="N23" s="17">
        <f ca="1">IFERROR(IF(VALUE(RIGHT($B$1,2))&gt;$A23,0,INDEX('T&amp;D Capacity'!$M$28:$S$47,MATCH($A23,'T&amp;D Capacity'!$B$28:$B$47,FALSE),MATCH(EDC_NAME,'T&amp;D Capacity'!$M$27:$S$27,FALSE))),0)</f>
        <v>12.017299919136418</v>
      </c>
      <c r="O23" s="18">
        <f>IFERROR(IF(VALUE(RIGHT($B$1,2))&gt;$A23,0,IFERROR(AVERAGEIF('NG Futures'!$E:$E,$B23,'NG Futures'!$I:$I),"Data Missing")),0)</f>
        <v>5.2503223688083311</v>
      </c>
      <c r="P23" s="324"/>
      <c r="Q23" s="65"/>
    </row>
    <row r="24" spans="1:43" ht="15" customHeight="1" x14ac:dyDescent="0.2">
      <c r="A24" s="124">
        <f t="shared" si="1"/>
        <v>37</v>
      </c>
      <c r="B24" s="124">
        <f t="shared" si="1"/>
        <v>2046</v>
      </c>
      <c r="C24" s="122">
        <f ca="1">IFERROR(IF(VALUE(RIGHT($B$1,2))&gt;$A24,0,AVERAGEIFS(Elec_On_Peak, 'Avoided AC'!$D:$D, $B24, 'Avoided AC'!$E:$E, "Summer") +
        INDEX(AEPS!$S$8:$S$37, MATCH($A24, 'General Inputs'!$F$3:$F$32, 0)) +
        OFFSET(DRIPE!$I$10, MATCH('Output (non-LI)'!$B24, DRIPE!$I$11:$I$30, 0), MATCH('Output (non-LI)'!$B$1, DRIPE!$J$10:$N$10, 0), 1, 1)),"Data Missing")</f>
        <v>93.381310526331177</v>
      </c>
      <c r="D24" s="17">
        <f ca="1">IFERROR(IF(VALUE(RIGHT($B$1,2))&gt;$A24,0,AVERAGEIFS(Elec_Off_Peak, 'Avoided AC'!$D:$D, $B24, 'Avoided AC'!$E:$E, "Summer") +
        INDEX(AEPS!$S$8:$S$37, MATCH($A24, 'General Inputs'!$F$3:$F$32, 0)) +
        OFFSET(DRIPE!$I$10, MATCH('Output (non-LI)'!$B24, DRIPE!$I$11:$I$30, 0), MATCH('Output (non-LI)'!$B$1, DRIPE!$J$10:$N$10, 0), 1, 1)),"Data Missing")</f>
        <v>58.158282074954336</v>
      </c>
      <c r="E24" s="17">
        <f ca="1">IFERROR(IF(VALUE(RIGHT($B$1,2))&gt;$A24,0,AVERAGEIFS(Elec_On_Peak, 'Avoided AC'!$D:$D, $B24, 'Avoided AC'!$E:$E, "Winter") +
        INDEX(AEPS!$S$8:$S$37, MATCH($A24, 'General Inputs'!$F$3:$F$32, 0)) +
        OFFSET(DRIPE!$I$10, MATCH('Output (non-LI)'!$B24, DRIPE!$I$11:$I$30, 0), MATCH('Output (non-LI)'!$B$1, DRIPE!$J$10:$N$10, 0), 1, 1)),"Data Missing")</f>
        <v>121.6788149547281</v>
      </c>
      <c r="F24" s="17">
        <f ca="1">IFERROR(IF(VALUE(RIGHT($B$1,2))&gt;$A24,0,AVERAGEIFS(Elec_Off_Peak, 'Avoided AC'!$D:$D, $B24, 'Avoided AC'!$E:$E, "Winter") +
        INDEX(AEPS!$S$8:$S$37, MATCH($A24, 'General Inputs'!$F$3:$F$32, 0)) +
        OFFSET(DRIPE!$I$10, MATCH('Output (non-LI)'!$B24, DRIPE!$I$11:$I$30, 0), MATCH('Output (non-LI)'!$B$1, DRIPE!$J$10:$N$10, 0), 1, 1)),"Data Missing")</f>
        <v>97.762284910266814</v>
      </c>
      <c r="G24" s="17">
        <f ca="1">IFERROR(IF(VALUE(RIGHT($B$1,2))&gt;$A24,0,AVERAGEIFS(Elec_On_Peak, 'Avoided AC'!$D:$D, $B24, 'Avoided AC'!$E:$E, "Shoulder") +
        INDEX(AEPS!$S$8:$S$37, MATCH($A24, 'General Inputs'!$F$3:$F$32, 0)) +
        OFFSET(DRIPE!$I$10, MATCH('Output (non-LI)'!$B24, DRIPE!$I$11:$I$30, 0), MATCH('Output (non-LI)'!$B$1, DRIPE!$J$10:$N$10, 0), 1, 1)),"Data Missing")</f>
        <v>81.949025120226054</v>
      </c>
      <c r="H24" s="17">
        <f ca="1">IFERROR(IF(VALUE(RIGHT($B$1,2))&gt;$A24,0,AVERAGEIFS(Elec_Off_Peak, 'Avoided AC'!$D:$D, $B24, 'Avoided AC'!$E:$E, "Shoulder") +
        INDEX(AEPS!$S$8:$S$37, MATCH($A24, 'General Inputs'!$F$3:$F$32, 0)) +
        OFFSET(DRIPE!$I$10, MATCH('Output (non-LI)'!$B24, DRIPE!$I$11:$I$30, 0), MATCH('Output (non-LI)'!$B$1, DRIPE!$J$10:$N$10, 0), 1, 1)),"Data Missing")</f>
        <v>63.279161953050149</v>
      </c>
      <c r="I24" s="17">
        <f ca="1">(IF(VALUE(RIGHT($B$1,2))&gt;$A24,0,INDEX('Generation Capacity'!$E$27:$K$48,MATCH($A24,'Generation Capacity'!$B$27:$B$48,FALSE),MATCH(EDC_NAME,'Generation Capacity'!$E$26:$K$26,FALSE))+
        OFFSET(DRIPE!$B$35,MATCH('Output (non-LI)'!$B24,DRIPE!$B$11:$B$30,0),MATCH('Output (non-LI)'!$B$1,DRIPE!$C$10:$G$10,0),1,1)))</f>
        <v>37.596075464176728</v>
      </c>
      <c r="J24" s="17">
        <f ca="1">(IF(VALUE(RIGHT($B$1,2))&gt;$A24,0,INDEX('Generation Capacity'!$E$27:$K$48,MATCH($A24,'Generation Capacity'!$B$27:$B$48,FALSE),MATCH(EDC_NAME,'Generation Capacity'!$E$26:$K$26,FALSE))+
        OFFSET(DRIPE!$I$35,MATCH('Output (non-LI)'!$B24,DRIPE!$B$11:$B$30,0),MATCH('Output (non-LI)'!$B$1,DRIPE!$C$10:$G$10,0),1,1)))</f>
        <v>37.596075464176728</v>
      </c>
      <c r="K24" s="17">
        <f ca="1">IFERROR(IF(VALUE(RIGHT($B$1,2))&gt;$A24,0,INDEX('T&amp;D Capacity'!$E$4:$K$23,MATCH($A24,'T&amp;D Capacity'!$B$4:$B$23,FALSE),MATCH(EDC_NAME,'T&amp;D Capacity'!$E$3:$K$3,FALSE))),0)</f>
        <v>13.034500482237377</v>
      </c>
      <c r="L24" s="17">
        <f ca="1">IFERROR(IF(VALUE(RIGHT($B$1,2))&gt;$A24,0,INDEX('T&amp;D Capacity'!$E$28:$K$47,MATCH($A24,'T&amp;D Capacity'!$B$28:$B$47,FALSE),MATCH(EDC_NAME,'T&amp;D Capacity'!$E$27:$K$27,FALSE))),0)</f>
        <v>13.034500482237377</v>
      </c>
      <c r="M24" s="17">
        <f ca="1">IFERROR(IF(VALUE(RIGHT($B$1,2))&gt;$A24,0,INDEX('T&amp;D Capacity'!$M$4:$S$23,MATCH($A24,'T&amp;D Capacity'!$B$4:$B$23,FALSE),MATCH(EDC_NAME,'T&amp;D Capacity'!$M$3:$S$3,FALSE))),0)</f>
        <v>84.590741180640151</v>
      </c>
      <c r="N24" s="17">
        <f ca="1">IFERROR(IF(VALUE(RIGHT($B$1,2))&gt;$A24,0,INDEX('T&amp;D Capacity'!$M$28:$S$47,MATCH($A24,'T&amp;D Capacity'!$B$28:$B$47,FALSE),MATCH(EDC_NAME,'T&amp;D Capacity'!$M$27:$S$27,FALSE))),0)</f>
        <v>12.266243498749931</v>
      </c>
      <c r="O24" s="18">
        <f>IFERROR(IF(VALUE(RIGHT($B$1,2))&gt;$A24,0,IFERROR(AVERAGEIF('NG Futures'!$E:$E,$B24,'NG Futures'!$I:$I),"Data Missing")),0)</f>
        <v>5.4583218785801444</v>
      </c>
      <c r="P24" s="325"/>
      <c r="Q24" s="65"/>
    </row>
    <row r="25" spans="1:43" s="50" customFormat="1" x14ac:dyDescent="0.2"/>
    <row r="26" spans="1:43" s="50" customFormat="1" x14ac:dyDescent="0.2"/>
    <row r="27" spans="1:43" s="50" customFormat="1" x14ac:dyDescent="0.2"/>
    <row r="28" spans="1:43" s="50" customFormat="1" x14ac:dyDescent="0.2">
      <c r="A28" s="26" t="s">
        <v>115</v>
      </c>
      <c r="B28" s="27" t="s">
        <v>130</v>
      </c>
    </row>
    <row r="29" spans="1:43" s="50" customFormat="1" x14ac:dyDescent="0.2">
      <c r="A29" s="84"/>
      <c r="B29" s="84"/>
      <c r="C29" s="312"/>
      <c r="D29" s="312"/>
      <c r="E29" s="312"/>
      <c r="F29" s="312"/>
      <c r="G29" s="312"/>
      <c r="H29" s="312"/>
      <c r="I29" s="312"/>
      <c r="J29" s="312"/>
      <c r="K29" s="312"/>
      <c r="L29" s="312"/>
      <c r="M29" s="312"/>
      <c r="N29" s="312"/>
    </row>
    <row r="30" spans="1:43" s="50" customFormat="1" ht="53.1" customHeight="1" x14ac:dyDescent="0.25">
      <c r="A30" s="51"/>
      <c r="B30" s="51"/>
      <c r="C30" s="313" t="str">
        <f>EDC_NAME&amp;" Zone Summer ($/MWh)"</f>
        <v>West Penn Zone Summer ($/MWh)</v>
      </c>
      <c r="D30" s="313"/>
      <c r="E30" s="313" t="str">
        <f>EDC_NAME&amp;" Zone Winter ($/MWh)"</f>
        <v>West Penn Zone Winter ($/MWh)</v>
      </c>
      <c r="F30" s="313"/>
      <c r="G30" s="313" t="str">
        <f>EDC_NAME&amp;" DLC Zone Shoulder ($/MWh)"</f>
        <v>West Penn DLC Zone Shoulder ($/MWh)</v>
      </c>
      <c r="H30" s="313"/>
      <c r="I30" s="314" t="str">
        <f>EDC_NAME&amp;" Generation Capacity
($/kW/year)"</f>
        <v>West Penn Generation Capacity
($/kW/year)</v>
      </c>
      <c r="J30" s="315"/>
      <c r="K30" s="316" t="str">
        <f>EDC_NAME&amp;" Transmission Capacity
($/kW/year)"</f>
        <v>West Penn Transmission Capacity
($/kW/year)</v>
      </c>
      <c r="L30" s="316"/>
      <c r="M30" s="316" t="str">
        <f>EDC_NAME&amp;" Distribution Capacity
($/kW/year)"</f>
        <v>West Penn Distribution Capacity
($/kW/year)</v>
      </c>
      <c r="N30" s="316"/>
      <c r="O30" s="326" t="s">
        <v>118</v>
      </c>
      <c r="P30" s="51"/>
      <c r="AC30" s="83"/>
      <c r="AD30" s="83"/>
      <c r="AE30" s="83"/>
      <c r="AF30" s="83"/>
      <c r="AG30" s="83"/>
      <c r="AH30" s="83"/>
      <c r="AI30" s="83"/>
      <c r="AJ30" s="83"/>
      <c r="AK30" s="83"/>
      <c r="AL30" s="83"/>
      <c r="AM30" s="83"/>
      <c r="AN30" s="83"/>
      <c r="AO30" s="83"/>
      <c r="AP30" s="83"/>
      <c r="AQ30" s="83"/>
    </row>
    <row r="31" spans="1:43" s="50" customFormat="1" ht="50.1" customHeight="1" x14ac:dyDescent="0.25">
      <c r="A31" s="116" t="s">
        <v>119</v>
      </c>
      <c r="B31" s="116" t="s">
        <v>120</v>
      </c>
      <c r="C31" s="118" t="s">
        <v>121</v>
      </c>
      <c r="D31" s="118" t="s">
        <v>122</v>
      </c>
      <c r="E31" s="118" t="s">
        <v>123</v>
      </c>
      <c r="F31" s="118" t="s">
        <v>124</v>
      </c>
      <c r="G31" s="118" t="s">
        <v>125</v>
      </c>
      <c r="H31" s="118" t="s">
        <v>126</v>
      </c>
      <c r="I31" s="284" t="s">
        <v>107</v>
      </c>
      <c r="J31" s="284" t="s">
        <v>101</v>
      </c>
      <c r="K31" s="284" t="s">
        <v>107</v>
      </c>
      <c r="L31" s="284" t="s">
        <v>101</v>
      </c>
      <c r="M31" s="284" t="s">
        <v>107</v>
      </c>
      <c r="N31" s="284" t="s">
        <v>101</v>
      </c>
      <c r="O31" s="327"/>
      <c r="AC31" s="83"/>
      <c r="AD31" s="83"/>
      <c r="AE31" s="83"/>
      <c r="AF31" s="83"/>
      <c r="AG31" s="83"/>
      <c r="AH31" s="83"/>
      <c r="AI31" s="83"/>
      <c r="AJ31" s="83"/>
      <c r="AK31" s="83"/>
      <c r="AL31" s="83"/>
      <c r="AM31" s="83"/>
      <c r="AN31" s="83"/>
      <c r="AO31" s="83"/>
      <c r="AP31" s="83"/>
      <c r="AQ31" s="83"/>
    </row>
    <row r="32" spans="1:43" s="50" customFormat="1" ht="15" customHeight="1" x14ac:dyDescent="0.25">
      <c r="A32" s="123">
        <v>18</v>
      </c>
      <c r="B32" s="124">
        <f>Start_Year</f>
        <v>2027</v>
      </c>
      <c r="C32" s="119">
        <f ca="1">IFERROR(IF(VALUE(RIGHT($B$28,2))&gt;$A32,0,AVERAGEIFS(Elec_On_Peak, 'Avoided AC'!$D:$D, $B32, 'Avoided AC'!$E:$E, "Summer") +
        INDEX(AEPS!$S$8:$S$37, MATCH($A32, 'General Inputs'!$F$3:$F$32, 0)) +
        OFFSET(DRIPE!$I$10, MATCH('Output (non-LI)'!$B32, DRIPE!$I$11:$I$30, 0), MATCH('Output (non-LI)'!$B$28, DRIPE!$J$10:$N$10, 0), 1, 1)),"Data Missing")</f>
        <v>0</v>
      </c>
      <c r="D32" s="117">
        <f ca="1">IFERROR(IF(VALUE(RIGHT($B$28,2))&gt;$A32,0,AVERAGEIFS(Elec_Off_Peak, 'Avoided AC'!$D:$D, $B32, 'Avoided AC'!$E:$E, "Summer") +
        INDEX(AEPS!$S$8:$S$37, MATCH($A32, 'General Inputs'!$F$3:$F$32, 0)) +
        OFFSET(DRIPE!$I$10, MATCH('Output (non-LI)'!$B32, DRIPE!$I$11:$I$30, 0), MATCH('Output (non-LI)'!$B$28, DRIPE!$J$10:$N$10, 0), 1, 1)),"Data Missing")</f>
        <v>0</v>
      </c>
      <c r="E32" s="117">
        <f ca="1">IFERROR(IF(VALUE(RIGHT($B$28,2))&gt;$A32,0,AVERAGEIFS(Elec_On_Peak, 'Avoided AC'!$D:$D, $B32, 'Avoided AC'!$E:$E, "Winter") +
        INDEX(AEPS!$S$8:$S$37, MATCH($A32, 'General Inputs'!$F$3:$F$32, 0)) +
        OFFSET(DRIPE!$I$10, MATCH('Output (non-LI)'!$B32, DRIPE!$I$11:$I$30, 0), MATCH('Output (non-LI)'!$B$28, DRIPE!$J$10:$N$10, 0), 1, 1)),"Data Missing")</f>
        <v>0</v>
      </c>
      <c r="F32" s="117">
        <f ca="1">IFERROR(IF(VALUE(RIGHT($B$28,2))&gt;$A32,0,AVERAGEIFS(Elec_Off_Peak, 'Avoided AC'!$D:$D, $B32, 'Avoided AC'!$E:$E, "Winter") +
        INDEX(AEPS!$S$8:$S$37, MATCH($A32, 'General Inputs'!$F$3:$F$32, 0)) +
        OFFSET(DRIPE!$I$10, MATCH('Output (non-LI)'!$B32, DRIPE!$I$11:$I$30, 0), MATCH('Output (non-LI)'!$B$28, DRIPE!$J$10:$N$10, 0), 1, 1)),"Data Missing")</f>
        <v>0</v>
      </c>
      <c r="G32" s="117">
        <f ca="1">IFERROR(IF(VALUE(RIGHT($B$28,2))&gt;$A32,0,AVERAGEIFS(Elec_On_Peak, 'Avoided AC'!$D:$D, $B32, 'Avoided AC'!$E:$E, "Shoulder") +
        INDEX(AEPS!$S$8:$S$37, MATCH($A32, 'General Inputs'!$F$3:$F$32, 0)) +
        OFFSET(DRIPE!$I$10, MATCH('Output (non-LI)'!$B32, DRIPE!$I$11:$I$30, 0), MATCH('Output (non-LI)'!$B$28, DRIPE!$J$10:$N$10, 0), 1, 1)),"Data Missing")</f>
        <v>0</v>
      </c>
      <c r="H32" s="117">
        <f ca="1">IFERROR(IF(VALUE(RIGHT($B$28,2))&gt;$A32,0,AVERAGEIFS(Elec_Off_Peak, 'Avoided AC'!$D:$D, $B32, 'Avoided AC'!$E:$E, "Shoulder") +
        INDEX(AEPS!$S$8:$S$37, MATCH($A32, 'General Inputs'!$F$3:$F$32, 0)) +
        OFFSET(DRIPE!$I$10, MATCH('Output (non-LI)'!$B32, DRIPE!$I$11:$I$30, 0), MATCH('Output (non-LI)'!$B$28, DRIPE!$J$10:$N$10, 0), 1, 1)),"Data Missing")</f>
        <v>0</v>
      </c>
      <c r="I32" s="117">
        <f ca="1">(IF(VALUE(RIGHT($B$28,2))&gt;$A32,0,INDEX('Generation Capacity'!$E$27:$K$48,MATCH($A32,'Generation Capacity'!$B$27:$B$48,FALSE),MATCH(EDC_NAME,'Generation Capacity'!$E$26:$K$26,FALSE))+
        OFFSET(DRIPE!$B$35,MATCH('Output (non-LI)'!$B32,DRIPE!$B$11:$B$30,0),MATCH('Output (non-LI)'!$B$28,DRIPE!$C$10:$G$10,0),1,1)))</f>
        <v>0</v>
      </c>
      <c r="J32" s="117">
        <f ca="1">(IF(VALUE(RIGHT($B$28,2))&gt;$A32,0,INDEX('Generation Capacity'!$E$27:$K$48,MATCH($A32,'Generation Capacity'!$B$27:$B$48,FALSE),MATCH(EDC_NAME,'Generation Capacity'!$E$26:$K$26,FALSE))+
        OFFSET(DRIPE!$I$35,MATCH('Output (non-LI)'!$B32,DRIPE!$B$11:$B$30,0),MATCH('Output (non-LI)'!$B$28,DRIPE!$C$10:$G$10,0),1,1)))</f>
        <v>0</v>
      </c>
      <c r="K32" s="117">
        <f>IFERROR(IF(VALUE(RIGHT($B$28,2))&gt;$A32,0,INDEX('T&amp;D Capacity'!$E$4:$K$23,MATCH($A32,'T&amp;D Capacity'!$B$4:$B$23,FALSE),MATCH(EDC_NAME,'T&amp;D Capacity'!$E$3:$K$3,FALSE))),0)</f>
        <v>0</v>
      </c>
      <c r="L32" s="117">
        <f>IFERROR(IF(VALUE(RIGHT($B$28,2))&gt;$A32,0,INDEX('T&amp;D Capacity'!$E$28:$K$47,MATCH($A32,'T&amp;D Capacity'!$B$28:$B$47,FALSE),MATCH(EDC_NAME,'T&amp;D Capacity'!$E$27:$K$27,FALSE))),0)</f>
        <v>0</v>
      </c>
      <c r="M32" s="117">
        <f>IFERROR(IF(VALUE(RIGHT($B$28,2))&gt;$A32,0,INDEX('T&amp;D Capacity'!$M$4:$S$23,MATCH($A32,'T&amp;D Capacity'!$B$4:$B$23,FALSE),MATCH(EDC_NAME,'T&amp;D Capacity'!$M$3:$S$3,FALSE))),0)</f>
        <v>0</v>
      </c>
      <c r="N32" s="117">
        <f>IFERROR(IF(VALUE(RIGHT($B$28,2))&gt;$A32,0,INDEX('T&amp;D Capacity'!$M$28:$S$47,MATCH($A32,'T&amp;D Capacity'!$B$28:$B$47,FALSE),MATCH(EDC_NAME,'T&amp;D Capacity'!$M$27:$S$27,FALSE))),0)</f>
        <v>0</v>
      </c>
      <c r="O32" s="57">
        <f>IFERROR(IF(VALUE(RIGHT($B$28,2))&gt;$A32,0,IFERROR(AVERAGEIF('NG Futures'!$E:$E,$B32,'NG Futures'!$I:$I),"Data Missing")),0)</f>
        <v>0</v>
      </c>
      <c r="P32" s="317" t="s">
        <v>127</v>
      </c>
      <c r="AC32" s="83"/>
      <c r="AD32" s="83"/>
      <c r="AE32" s="83"/>
      <c r="AF32" s="83"/>
      <c r="AG32" s="83"/>
      <c r="AH32" s="83"/>
      <c r="AI32" s="83"/>
      <c r="AJ32" s="83"/>
      <c r="AK32" s="83"/>
      <c r="AL32" s="83"/>
      <c r="AM32" s="83"/>
      <c r="AN32" s="83"/>
      <c r="AO32" s="83"/>
      <c r="AP32" s="83"/>
      <c r="AQ32" s="83"/>
    </row>
    <row r="33" spans="1:43" s="50" customFormat="1" ht="15" customHeight="1" x14ac:dyDescent="0.25">
      <c r="A33" s="124">
        <f>A32+1</f>
        <v>19</v>
      </c>
      <c r="B33" s="124">
        <f>B32+1</f>
        <v>2028</v>
      </c>
      <c r="C33" s="120">
        <f ca="1">IFERROR(IF(VALUE(RIGHT($B$28,2))&gt;$A33,0,AVERAGEIFS(Elec_On_Peak, 'Avoided AC'!$D:$D, $B33, 'Avoided AC'!$E:$E, "Summer") +
        INDEX(AEPS!$S$8:$S$37, MATCH($A33, 'General Inputs'!$F$3:$F$32, 0)) +
        OFFSET(DRIPE!$I$10, MATCH('Output (non-LI)'!$B33, DRIPE!$I$11:$I$30, 0), MATCH('Output (non-LI)'!$B$28, DRIPE!$J$10:$N$10, 0), 1, 1)),"Data Missing")</f>
        <v>89.724747707590296</v>
      </c>
      <c r="D33" s="14">
        <f ca="1">IFERROR(IF(VALUE(RIGHT($B$28,2))&gt;$A33,0,AVERAGEIFS(Elec_Off_Peak, 'Avoided AC'!$D:$D, $B33, 'Avoided AC'!$E:$E, "Summer") +
        INDEX(AEPS!$S$8:$S$37, MATCH($A33, 'General Inputs'!$F$3:$F$32, 0)) +
        OFFSET(DRIPE!$I$10, MATCH('Output (non-LI)'!$B33, DRIPE!$I$11:$I$30, 0), MATCH('Output (non-LI)'!$B$28, DRIPE!$J$10:$N$10, 0), 1, 1)),"Data Missing")</f>
        <v>58.071910012307228</v>
      </c>
      <c r="E33" s="14">
        <f ca="1">IFERROR(IF(VALUE(RIGHT($B$28,2))&gt;$A33,0,AVERAGEIFS(Elec_On_Peak, 'Avoided AC'!$D:$D, $B33, 'Avoided AC'!$E:$E, "Winter") +
        INDEX(AEPS!$S$8:$S$37, MATCH($A33, 'General Inputs'!$F$3:$F$32, 0)) +
        OFFSET(DRIPE!$I$10, MATCH('Output (non-LI)'!$B33, DRIPE!$I$11:$I$30, 0), MATCH('Output (non-LI)'!$B$28, DRIPE!$J$10:$N$10, 0), 1, 1)),"Data Missing")</f>
        <v>97.250258331993777</v>
      </c>
      <c r="F33" s="14">
        <f ca="1">IFERROR(IF(VALUE(RIGHT($B$28,2))&gt;$A33,0,AVERAGEIFS(Elec_Off_Peak, 'Avoided AC'!$D:$D, $B33, 'Avoided AC'!$E:$E, "Winter") +
        INDEX(AEPS!$S$8:$S$37, MATCH($A33, 'General Inputs'!$F$3:$F$32, 0)) +
        OFFSET(DRIPE!$I$10, MATCH('Output (non-LI)'!$B33, DRIPE!$I$11:$I$30, 0), MATCH('Output (non-LI)'!$B$28, DRIPE!$J$10:$N$10, 0), 1, 1)),"Data Missing")</f>
        <v>84.563507440347621</v>
      </c>
      <c r="G33" s="14">
        <f ca="1">IFERROR(IF(VALUE(RIGHT($B$28,2))&gt;$A33,0,AVERAGEIFS(Elec_On_Peak, 'Avoided AC'!$D:$D, $B33, 'Avoided AC'!$E:$E, "Shoulder") +
        INDEX(AEPS!$S$8:$S$37, MATCH($A33, 'General Inputs'!$F$3:$F$32, 0)) +
        OFFSET(DRIPE!$I$10, MATCH('Output (non-LI)'!$B33, DRIPE!$I$11:$I$30, 0), MATCH('Output (non-LI)'!$B$28, DRIPE!$J$10:$N$10, 0), 1, 1)),"Data Missing")</f>
        <v>75.59364570829355</v>
      </c>
      <c r="H33" s="14">
        <f ca="1">IFERROR(IF(VALUE(RIGHT($B$28,2))&gt;$A33,0,AVERAGEIFS(Elec_Off_Peak, 'Avoided AC'!$D:$D, $B33, 'Avoided AC'!$E:$E, "Shoulder") +
        INDEX(AEPS!$S$8:$S$37, MATCH($A33, 'General Inputs'!$F$3:$F$32, 0)) +
        OFFSET(DRIPE!$I$10, MATCH('Output (non-LI)'!$B33, DRIPE!$I$11:$I$30, 0), MATCH('Output (non-LI)'!$B$28, DRIPE!$J$10:$N$10, 0), 1, 1)),"Data Missing")</f>
        <v>63.054012664640567</v>
      </c>
      <c r="I33" s="14">
        <f ca="1">(IF(VALUE(RIGHT($B$28,2))&gt;$A33,0,INDEX('Generation Capacity'!$E$27:$K$48,MATCH($A33,'Generation Capacity'!$B$27:$B$48,FALSE),MATCH(EDC_NAME,'Generation Capacity'!$E$26:$K$26,FALSE))+
        OFFSET(DRIPE!$B$35,MATCH('Output (non-LI)'!$B33,DRIPE!$B$11:$B$30,0),MATCH('Output (non-LI)'!$B$28,DRIPE!$C$10:$G$10,0),1,1)))</f>
        <v>38.763109999999998</v>
      </c>
      <c r="J33" s="14">
        <f ca="1">(IF(VALUE(RIGHT($B$28,2))&gt;$A33,0,INDEX('Generation Capacity'!$E$27:$K$48,MATCH($A33,'Generation Capacity'!$B$27:$B$48,FALSE),MATCH(EDC_NAME,'Generation Capacity'!$E$26:$K$26,FALSE))+
        OFFSET(DRIPE!$I$35,MATCH('Output (non-LI)'!$B33,DRIPE!$B$11:$B$30,0),MATCH('Output (non-LI)'!$B$28,DRIPE!$C$10:$G$10,0),1,1)))</f>
        <v>38.763109999999998</v>
      </c>
      <c r="K33" s="14">
        <f ca="1">IFERROR(IF(VALUE(RIGHT($B$28,2))&gt;$A33,0,INDEX('T&amp;D Capacity'!$E$4:$K$23,MATCH($A33,'T&amp;D Capacity'!$B$4:$B$23,FALSE),MATCH(EDC_NAME,'T&amp;D Capacity'!$E$3:$K$3,FALSE))),0)</f>
        <v>9.0117705278222537</v>
      </c>
      <c r="L33" s="14">
        <f ca="1">IFERROR(IF(VALUE(RIGHT($B$28,2))&gt;$A33,0,INDEX('T&amp;D Capacity'!$E$28:$K$47,MATCH($A33,'T&amp;D Capacity'!$B$28:$B$47,FALSE),MATCH(EDC_NAME,'T&amp;D Capacity'!$E$27:$K$27,FALSE))),0)</f>
        <v>9.0117705278222537</v>
      </c>
      <c r="M33" s="14">
        <f>IFERROR(IF(VALUE(RIGHT($B$28,2))&gt;$A33,0,INDEX('T&amp;D Capacity'!$M$4:$S$23,MATCH($A33,'T&amp;D Capacity'!$B$4:$B$23,FALSE),MATCH(EDC_NAME,'T&amp;D Capacity'!$M$3:$S$3,FALSE))),0)</f>
        <v>46.265887528657913</v>
      </c>
      <c r="N33" s="14">
        <f>IFERROR(IF(VALUE(RIGHT($B$28,2))&gt;$A33,0,INDEX('T&amp;D Capacity'!$M$28:$S$47,MATCH($A33,'T&amp;D Capacity'!$B$28:$B$47,FALSE),MATCH(EDC_NAME,'T&amp;D Capacity'!$M$27:$S$27,FALSE))),0)</f>
        <v>6.0599454417824745</v>
      </c>
      <c r="O33" s="57">
        <f>IFERROR(IF(VALUE(RIGHT($B$28,2))&gt;$A33,0,IFERROR(AVERAGEIF('NG Futures'!$E:$E,$B33,'NG Futures'!$I:$I),"Data Missing")),0)</f>
        <v>3.6780000000000008</v>
      </c>
      <c r="P33" s="318"/>
      <c r="AC33" s="83"/>
      <c r="AD33" s="83"/>
      <c r="AE33" s="83"/>
      <c r="AF33" s="83"/>
      <c r="AG33" s="83"/>
      <c r="AH33" s="83"/>
      <c r="AI33" s="83"/>
      <c r="AJ33" s="83"/>
      <c r="AK33" s="83"/>
      <c r="AL33" s="83"/>
      <c r="AM33" s="83"/>
      <c r="AN33" s="83"/>
      <c r="AO33" s="83"/>
      <c r="AP33" s="83"/>
      <c r="AQ33" s="83"/>
    </row>
    <row r="34" spans="1:43" s="50" customFormat="1" ht="15" customHeight="1" x14ac:dyDescent="0.2">
      <c r="A34" s="124">
        <f t="shared" ref="A34:B34" si="2">A33+1</f>
        <v>20</v>
      </c>
      <c r="B34" s="124">
        <f t="shared" si="2"/>
        <v>2029</v>
      </c>
      <c r="C34" s="120">
        <f ca="1">IFERROR(IF(VALUE(RIGHT($B$28,2))&gt;$A34,0,AVERAGEIFS(Elec_On_Peak, 'Avoided AC'!$D:$D, $B34, 'Avoided AC'!$E:$E, "Summer") +
        INDEX(AEPS!$S$8:$S$37, MATCH($A34, 'General Inputs'!$F$3:$F$32, 0)) +
        OFFSET(DRIPE!$I$10, MATCH('Output (non-LI)'!$B34, DRIPE!$I$11:$I$30, 0), MATCH('Output (non-LI)'!$B$28, DRIPE!$J$10:$N$10, 0), 1, 1)),"Data Missing")</f>
        <v>98.80404223977996</v>
      </c>
      <c r="D34" s="14">
        <f ca="1">IFERROR(IF(VALUE(RIGHT($B$28,2))&gt;$A34,0,AVERAGEIFS(Elec_Off_Peak, 'Avoided AC'!$D:$D, $B34, 'Avoided AC'!$E:$E, "Summer") +
        INDEX(AEPS!$S$8:$S$37, MATCH($A34, 'General Inputs'!$F$3:$F$32, 0)) +
        OFFSET(DRIPE!$I$10, MATCH('Output (non-LI)'!$B34, DRIPE!$I$11:$I$30, 0), MATCH('Output (non-LI)'!$B$28, DRIPE!$J$10:$N$10, 0), 1, 1)),"Data Missing")</f>
        <v>68.023526843185806</v>
      </c>
      <c r="E34" s="14">
        <f ca="1">IFERROR(IF(VALUE(RIGHT($B$28,2))&gt;$A34,0,AVERAGEIFS(Elec_On_Peak, 'Avoided AC'!$D:$D, $B34, 'Avoided AC'!$E:$E, "Winter") +
        INDEX(AEPS!$S$8:$S$37, MATCH($A34, 'General Inputs'!$F$3:$F$32, 0)) +
        OFFSET(DRIPE!$I$10, MATCH('Output (non-LI)'!$B34, DRIPE!$I$11:$I$30, 0), MATCH('Output (non-LI)'!$B$28, DRIPE!$J$10:$N$10, 0), 1, 1)),"Data Missing")</f>
        <v>107.76265378345808</v>
      </c>
      <c r="F34" s="14">
        <f ca="1">IFERROR(IF(VALUE(RIGHT($B$28,2))&gt;$A34,0,AVERAGEIFS(Elec_Off_Peak, 'Avoided AC'!$D:$D, $B34, 'Avoided AC'!$E:$E, "Winter") +
        INDEX(AEPS!$S$8:$S$37, MATCH($A34, 'General Inputs'!$F$3:$F$32, 0)) +
        OFFSET(DRIPE!$I$10, MATCH('Output (non-LI)'!$B34, DRIPE!$I$11:$I$30, 0), MATCH('Output (non-LI)'!$B$28, DRIPE!$J$10:$N$10, 0), 1, 1)),"Data Missing")</f>
        <v>94.26242773232029</v>
      </c>
      <c r="G34" s="14">
        <f ca="1">IFERROR(IF(VALUE(RIGHT($B$28,2))&gt;$A34,0,AVERAGEIFS(Elec_On_Peak, 'Avoided AC'!$D:$D, $B34, 'Avoided AC'!$E:$E, "Shoulder") +
        INDEX(AEPS!$S$8:$S$37, MATCH($A34, 'General Inputs'!$F$3:$F$32, 0)) +
        OFFSET(DRIPE!$I$10, MATCH('Output (non-LI)'!$B34, DRIPE!$I$11:$I$30, 0), MATCH('Output (non-LI)'!$B$28, DRIPE!$J$10:$N$10, 0), 1, 1)),"Data Missing")</f>
        <v>84.210817117963529</v>
      </c>
      <c r="H34" s="14">
        <f ca="1">IFERROR(IF(VALUE(RIGHT($B$28,2))&gt;$A34,0,AVERAGEIFS(Elec_Off_Peak, 'Avoided AC'!$D:$D, $B34, 'Avoided AC'!$E:$E, "Shoulder") +
        INDEX(AEPS!$S$8:$S$37, MATCH($A34, 'General Inputs'!$F$3:$F$32, 0)) +
        OFFSET(DRIPE!$I$10, MATCH('Output (non-LI)'!$B34, DRIPE!$I$11:$I$30, 0), MATCH('Output (non-LI)'!$B$28, DRIPE!$J$10:$N$10, 0), 1, 1)),"Data Missing")</f>
        <v>70.632705147299944</v>
      </c>
      <c r="I34" s="14">
        <f ca="1">(IF(VALUE(RIGHT($B$28,2))&gt;$A34,0,INDEX('Generation Capacity'!$E$27:$K$48,MATCH($A34,'Generation Capacity'!$B$27:$B$48,FALSE),MATCH(EDC_NAME,'Generation Capacity'!$E$26:$K$26,FALSE))+
        OFFSET(DRIPE!$B$35,MATCH('Output (non-LI)'!$B34,DRIPE!$B$11:$B$30,0),MATCH('Output (non-LI)'!$B$28,DRIPE!$C$10:$G$10,0),1,1)))</f>
        <v>39.556568546614422</v>
      </c>
      <c r="J34" s="14">
        <f ca="1">(IF(VALUE(RIGHT($B$28,2))&gt;$A34,0,INDEX('Generation Capacity'!$E$27:$K$48,MATCH($A34,'Generation Capacity'!$B$27:$B$48,FALSE),MATCH(EDC_NAME,'Generation Capacity'!$E$26:$K$26,FALSE))+
        OFFSET(DRIPE!$I$35,MATCH('Output (non-LI)'!$B34,DRIPE!$B$11:$B$30,0),MATCH('Output (non-LI)'!$B$28,DRIPE!$C$10:$G$10,0),1,1)))</f>
        <v>39.556568546614422</v>
      </c>
      <c r="K34" s="14">
        <f ca="1">IFERROR(IF(VALUE(RIGHT($B$28,2))&gt;$A34,0,INDEX('T&amp;D Capacity'!$E$4:$K$23,MATCH($A34,'T&amp;D Capacity'!$B$4:$B$23,FALSE),MATCH(EDC_NAME,'T&amp;D Capacity'!$E$3:$K$3,FALSE))),0)</f>
        <v>9.1984532626252022</v>
      </c>
      <c r="L34" s="14">
        <f ca="1">IFERROR(IF(VALUE(RIGHT($B$28,2))&gt;$A34,0,INDEX('T&amp;D Capacity'!$E$28:$K$47,MATCH($A34,'T&amp;D Capacity'!$B$28:$B$47,FALSE),MATCH(EDC_NAME,'T&amp;D Capacity'!$E$27:$K$27,FALSE))),0)</f>
        <v>9.1984532626252022</v>
      </c>
      <c r="M34" s="14">
        <f>IFERROR(IF(VALUE(RIGHT($B$28,2))&gt;$A34,0,INDEX('T&amp;D Capacity'!$M$4:$S$23,MATCH($A34,'T&amp;D Capacity'!$B$4:$B$23,FALSE),MATCH(EDC_NAME,'T&amp;D Capacity'!$M$3:$S$3,FALSE))),0)</f>
        <v>51.885319620370865</v>
      </c>
      <c r="N34" s="14">
        <f>IFERROR(IF(VALUE(RIGHT($B$28,2))&gt;$A34,0,INDEX('T&amp;D Capacity'!$M$28:$S$47,MATCH($A34,'T&amp;D Capacity'!$B$28:$B$47,FALSE),MATCH(EDC_NAME,'T&amp;D Capacity'!$M$27:$S$27,FALSE))),0)</f>
        <v>7.0145137757062912</v>
      </c>
      <c r="O34" s="57">
        <f>IFERROR(IF(VALUE(RIGHT($B$28,2))&gt;$A34,0,IFERROR(AVERAGEIF('NG Futures'!$E:$E,$B34,'NG Futures'!$I:$I),"Data Missing")),0)</f>
        <v>3.5623333333333331</v>
      </c>
      <c r="P34" s="318"/>
    </row>
    <row r="35" spans="1:43" s="50" customFormat="1" ht="15" customHeight="1" x14ac:dyDescent="0.2">
      <c r="A35" s="124">
        <f t="shared" ref="A35:B35" si="3">A34+1</f>
        <v>21</v>
      </c>
      <c r="B35" s="124">
        <f t="shared" si="3"/>
        <v>2030</v>
      </c>
      <c r="C35" s="120">
        <f ca="1">IFERROR(IF(VALUE(RIGHT($B$28,2))&gt;$A35,0,AVERAGEIFS(Elec_On_Peak, 'Avoided AC'!$D:$D, $B35, 'Avoided AC'!$E:$E, "Summer") +
        INDEX(AEPS!$S$8:$S$37, MATCH($A35, 'General Inputs'!$F$3:$F$32, 0)) +
        OFFSET(DRIPE!$I$10, MATCH('Output (non-LI)'!$B35, DRIPE!$I$11:$I$30, 0), MATCH('Output (non-LI)'!$B$28, DRIPE!$J$10:$N$10, 0), 1, 1)),"Data Missing")</f>
        <v>104.81997103755694</v>
      </c>
      <c r="D35" s="14">
        <f ca="1">IFERROR(IF(VALUE(RIGHT($B$28,2))&gt;$A35,0,AVERAGEIFS(Elec_Off_Peak, 'Avoided AC'!$D:$D, $B35, 'Avoided AC'!$E:$E, "Summer") +
        INDEX(AEPS!$S$8:$S$37, MATCH($A35, 'General Inputs'!$F$3:$F$32, 0)) +
        OFFSET(DRIPE!$I$10, MATCH('Output (non-LI)'!$B35, DRIPE!$I$11:$I$30, 0), MATCH('Output (non-LI)'!$B$28, DRIPE!$J$10:$N$10, 0), 1, 1)),"Data Missing")</f>
        <v>76.012565602282905</v>
      </c>
      <c r="E35" s="14">
        <f ca="1">IFERROR(IF(VALUE(RIGHT($B$28,2))&gt;$A35,0,AVERAGEIFS(Elec_On_Peak, 'Avoided AC'!$D:$D, $B35, 'Avoided AC'!$E:$E, "Winter") +
        INDEX(AEPS!$S$8:$S$37, MATCH($A35, 'General Inputs'!$F$3:$F$32, 0)) +
        OFFSET(DRIPE!$I$10, MATCH('Output (non-LI)'!$B35, DRIPE!$I$11:$I$30, 0), MATCH('Output (non-LI)'!$B$28, DRIPE!$J$10:$N$10, 0), 1, 1)),"Data Missing")</f>
        <v>116.64824601620765</v>
      </c>
      <c r="F35" s="14">
        <f ca="1">IFERROR(IF(VALUE(RIGHT($B$28,2))&gt;$A35,0,AVERAGEIFS(Elec_Off_Peak, 'Avoided AC'!$D:$D, $B35, 'Avoided AC'!$E:$E, "Winter") +
        INDEX(AEPS!$S$8:$S$37, MATCH($A35, 'General Inputs'!$F$3:$F$32, 0)) +
        OFFSET(DRIPE!$I$10, MATCH('Output (non-LI)'!$B35, DRIPE!$I$11:$I$30, 0), MATCH('Output (non-LI)'!$B$28, DRIPE!$J$10:$N$10, 0), 1, 1)),"Data Missing")</f>
        <v>102.473008662513</v>
      </c>
      <c r="G35" s="14">
        <f ca="1">IFERROR(IF(VALUE(RIGHT($B$28,2))&gt;$A35,0,AVERAGEIFS(Elec_On_Peak, 'Avoided AC'!$D:$D, $B35, 'Avoided AC'!$E:$E, "Shoulder") +
        INDEX(AEPS!$S$8:$S$37, MATCH($A35, 'General Inputs'!$F$3:$F$32, 0)) +
        OFFSET(DRIPE!$I$10, MATCH('Output (non-LI)'!$B35, DRIPE!$I$11:$I$30, 0), MATCH('Output (non-LI)'!$B$28, DRIPE!$J$10:$N$10, 0), 1, 1)),"Data Missing")</f>
        <v>93.970462447613698</v>
      </c>
      <c r="H35" s="14">
        <f ca="1">IFERROR(IF(VALUE(RIGHT($B$28,2))&gt;$A35,0,AVERAGEIFS(Elec_Off_Peak, 'Avoided AC'!$D:$D, $B35, 'Avoided AC'!$E:$E, "Shoulder") +
        INDEX(AEPS!$S$8:$S$37, MATCH($A35, 'General Inputs'!$F$3:$F$32, 0)) +
        OFFSET(DRIPE!$I$10, MATCH('Output (non-LI)'!$B35, DRIPE!$I$11:$I$30, 0), MATCH('Output (non-LI)'!$B$28, DRIPE!$J$10:$N$10, 0), 1, 1)),"Data Missing")</f>
        <v>79.029346885248714</v>
      </c>
      <c r="I35" s="14">
        <f ca="1">(IF(VALUE(RIGHT($B$28,2))&gt;$A35,0,INDEX('Generation Capacity'!$E$27:$K$48,MATCH($A35,'Generation Capacity'!$B$27:$B$48,FALSE),MATCH(EDC_NAME,'Generation Capacity'!$E$26:$K$26,FALSE))+
        OFFSET(DRIPE!$B$35,MATCH('Output (non-LI)'!$B35,DRIPE!$B$11:$B$30,0),MATCH('Output (non-LI)'!$B$28,DRIPE!$C$10:$G$10,0),1,1)))</f>
        <v>40.366181495546314</v>
      </c>
      <c r="J35" s="14">
        <f ca="1">(IF(VALUE(RIGHT($B$28,2))&gt;$A35,0,INDEX('Generation Capacity'!$E$27:$K$48,MATCH($A35,'Generation Capacity'!$B$27:$B$48,FALSE),MATCH(EDC_NAME,'Generation Capacity'!$E$26:$K$26,FALSE))+
        OFFSET(DRIPE!$I$35,MATCH('Output (non-LI)'!$B35,DRIPE!$B$11:$B$30,0),MATCH('Output (non-LI)'!$B$28,DRIPE!$C$10:$G$10,0),1,1)))</f>
        <v>40.366181495546314</v>
      </c>
      <c r="K35" s="14">
        <f ca="1">IFERROR(IF(VALUE(RIGHT($B$28,2))&gt;$A35,0,INDEX('T&amp;D Capacity'!$E$4:$K$23,MATCH($A35,'T&amp;D Capacity'!$B$4:$B$23,FALSE),MATCH(EDC_NAME,'T&amp;D Capacity'!$E$3:$K$3,FALSE))),0)</f>
        <v>9.3890032112421178</v>
      </c>
      <c r="L35" s="14">
        <f ca="1">IFERROR(IF(VALUE(RIGHT($B$28,2))&gt;$A35,0,INDEX('T&amp;D Capacity'!$E$28:$K$47,MATCH($A35,'T&amp;D Capacity'!$B$28:$B$47,FALSE),MATCH(EDC_NAME,'T&amp;D Capacity'!$E$27:$K$27,FALSE))),0)</f>
        <v>9.3890032112421178</v>
      </c>
      <c r="M35" s="14">
        <f>IFERROR(IF(VALUE(RIGHT($B$28,2))&gt;$A35,0,INDEX('T&amp;D Capacity'!$M$4:$S$23,MATCH($A35,'T&amp;D Capacity'!$B$4:$B$23,FALSE),MATCH(EDC_NAME,'T&amp;D Capacity'!$M$3:$S$3,FALSE))),0)</f>
        <v>56.91817232966423</v>
      </c>
      <c r="N35" s="14">
        <f>IFERROR(IF(VALUE(RIGHT($B$28,2))&gt;$A35,0,INDEX('T&amp;D Capacity'!$M$28:$S$47,MATCH($A35,'T&amp;D Capacity'!$B$28:$B$47,FALSE),MATCH(EDC_NAME,'T&amp;D Capacity'!$M$27:$S$27,FALSE))),0)</f>
        <v>7.9289728403091431</v>
      </c>
      <c r="O35" s="57">
        <f>IFERROR(IF(VALUE(RIGHT($B$28,2))&gt;$A35,0,IFERROR(AVERAGEIF('NG Futures'!$E:$E,$B35,'NG Futures'!$I:$I),"Data Missing")),0)</f>
        <v>3.4177733333333329</v>
      </c>
      <c r="P35" s="319"/>
    </row>
    <row r="36" spans="1:43" s="50" customFormat="1" ht="15" customHeight="1" x14ac:dyDescent="0.2">
      <c r="A36" s="124">
        <f t="shared" ref="A36:B36" si="4">A35+1</f>
        <v>22</v>
      </c>
      <c r="B36" s="124">
        <f t="shared" si="4"/>
        <v>2031</v>
      </c>
      <c r="C36" s="121">
        <f ca="1">IFERROR(IF(VALUE(RIGHT($B$28,2))&gt;$A36,0,AVERAGEIFS(Elec_On_Peak, 'Avoided AC'!$D:$D, $B36, 'Avoided AC'!$E:$E, "Summer") +
        INDEX(AEPS!$S$8:$S$37, MATCH($A36, 'General Inputs'!$F$3:$F$32, 0)) +
        OFFSET(DRIPE!$I$10, MATCH('Output (non-LI)'!$B36, DRIPE!$I$11:$I$30, 0), MATCH('Output (non-LI)'!$B$28, DRIPE!$J$10:$N$10, 0), 1, 1)),"Data Missing")</f>
        <v>102.91378504452344</v>
      </c>
      <c r="D36" s="15">
        <f ca="1">IFERROR(IF(VALUE(RIGHT($B$28,2))&gt;$A36,0,AVERAGEIFS(Elec_Off_Peak, 'Avoided AC'!$D:$D, $B36, 'Avoided AC'!$E:$E, "Summer") +
        INDEX(AEPS!$S$8:$S$37, MATCH($A36, 'General Inputs'!$F$3:$F$32, 0)) +
        OFFSET(DRIPE!$I$10, MATCH('Output (non-LI)'!$B36, DRIPE!$I$11:$I$30, 0), MATCH('Output (non-LI)'!$B$28, DRIPE!$J$10:$N$10, 0), 1, 1)),"Data Missing")</f>
        <v>72.967852442793401</v>
      </c>
      <c r="E36" s="15">
        <f ca="1">IFERROR(IF(VALUE(RIGHT($B$28,2))&gt;$A36,0,AVERAGEIFS(Elec_On_Peak, 'Avoided AC'!$D:$D, $B36, 'Avoided AC'!$E:$E, "Winter") +
        INDEX(AEPS!$S$8:$S$37, MATCH($A36, 'General Inputs'!$F$3:$F$32, 0)) +
        OFFSET(DRIPE!$I$10, MATCH('Output (non-LI)'!$B36, DRIPE!$I$11:$I$30, 0), MATCH('Output (non-LI)'!$B$28, DRIPE!$J$10:$N$10, 0), 1, 1)),"Data Missing")</f>
        <v>110.22922486782274</v>
      </c>
      <c r="F36" s="15">
        <f ca="1">IFERROR(IF(VALUE(RIGHT($B$28,2))&gt;$A36,0,AVERAGEIFS(Elec_Off_Peak, 'Avoided AC'!$D:$D, $B36, 'Avoided AC'!$E:$E, "Winter") +
        INDEX(AEPS!$S$8:$S$37, MATCH($A36, 'General Inputs'!$F$3:$F$32, 0)) +
        OFFSET(DRIPE!$I$10, MATCH('Output (non-LI)'!$B36, DRIPE!$I$11:$I$30, 0), MATCH('Output (non-LI)'!$B$28, DRIPE!$J$10:$N$10, 0), 1, 1)),"Data Missing")</f>
        <v>98.122194104912637</v>
      </c>
      <c r="G36" s="15">
        <f ca="1">IFERROR(IF(VALUE(RIGHT($B$28,2))&gt;$A36,0,AVERAGEIFS(Elec_On_Peak, 'Avoided AC'!$D:$D, $B36, 'Avoided AC'!$E:$E, "Shoulder") +
        INDEX(AEPS!$S$8:$S$37, MATCH($A36, 'General Inputs'!$F$3:$F$32, 0)) +
        OFFSET(DRIPE!$I$10, MATCH('Output (non-LI)'!$B36, DRIPE!$I$11:$I$30, 0), MATCH('Output (non-LI)'!$B$28, DRIPE!$J$10:$N$10, 0), 1, 1)),"Data Missing")</f>
        <v>88.897600195495926</v>
      </c>
      <c r="H36" s="15">
        <f ca="1">IFERROR(IF(VALUE(RIGHT($B$28,2))&gt;$A36,0,AVERAGEIFS(Elec_Off_Peak, 'Avoided AC'!$D:$D, $B36, 'Avoided AC'!$E:$E, "Shoulder") +
        INDEX(AEPS!$S$8:$S$37, MATCH($A36, 'General Inputs'!$F$3:$F$32, 0)) +
        OFFSET(DRIPE!$I$10, MATCH('Output (non-LI)'!$B36, DRIPE!$I$11:$I$30, 0), MATCH('Output (non-LI)'!$B$28, DRIPE!$J$10:$N$10, 0), 1, 1)),"Data Missing")</f>
        <v>76.309285342789622</v>
      </c>
      <c r="I36" s="15">
        <f ca="1">(IF(VALUE(RIGHT($B$28,2))&gt;$A36,0,INDEX('Generation Capacity'!$E$27:$K$48,MATCH($A36,'Generation Capacity'!$B$27:$B$48,FALSE),MATCH(EDC_NAME,'Generation Capacity'!$E$26:$K$26,FALSE))+
        OFFSET(DRIPE!$B$35,MATCH('Output (non-LI)'!$B36,DRIPE!$B$11:$B$30,0),MATCH('Output (non-LI)'!$B$28,DRIPE!$C$10:$G$10,0),1,1)))</f>
        <v>41.192179915077226</v>
      </c>
      <c r="J36" s="15">
        <f ca="1">(IF(VALUE(RIGHT($B$28,2))&gt;$A36,0,INDEX('Generation Capacity'!$E$27:$K$48,MATCH($A36,'Generation Capacity'!$B$27:$B$48,FALSE),MATCH(EDC_NAME,'Generation Capacity'!$E$26:$K$26,FALSE))+
        OFFSET(DRIPE!$I$35,MATCH('Output (non-LI)'!$B36,DRIPE!$B$11:$B$30,0),MATCH('Output (non-LI)'!$B$28,DRIPE!$C$10:$G$10,0),1,1)))</f>
        <v>41.192179915077226</v>
      </c>
      <c r="K36" s="15">
        <f ca="1">IFERROR(IF(VALUE(RIGHT($B$28,2))&gt;$A36,0,INDEX('T&amp;D Capacity'!$E$4:$K$23,MATCH($A36,'T&amp;D Capacity'!$B$4:$B$23,FALSE),MATCH(EDC_NAME,'T&amp;D Capacity'!$E$3:$K$3,FALSE))),0)</f>
        <v>9.5835004846843326</v>
      </c>
      <c r="L36" s="15">
        <f ca="1">IFERROR(IF(VALUE(RIGHT($B$28,2))&gt;$A36,0,INDEX('T&amp;D Capacity'!$E$28:$K$47,MATCH($A36,'T&amp;D Capacity'!$B$28:$B$47,FALSE),MATCH(EDC_NAME,'T&amp;D Capacity'!$E$27:$K$27,FALSE))),0)</f>
        <v>9.5835004846843326</v>
      </c>
      <c r="M36" s="15">
        <f>IFERROR(IF(VALUE(RIGHT($B$28,2))&gt;$A36,0,INDEX('T&amp;D Capacity'!$M$4:$S$23,MATCH($A36,'T&amp;D Capacity'!$B$4:$B$23,FALSE),MATCH(EDC_NAME,'T&amp;D Capacity'!$M$3:$S$3,FALSE))),0)</f>
        <v>62.194589674472809</v>
      </c>
      <c r="N36" s="15">
        <f>IFERROR(IF(VALUE(RIGHT($B$28,2))&gt;$A36,0,INDEX('T&amp;D Capacity'!$M$28:$S$47,MATCH($A36,'T&amp;D Capacity'!$B$28:$B$47,FALSE),MATCH(EDC_NAME,'T&amp;D Capacity'!$M$27:$S$27,FALSE))),0)</f>
        <v>9.0186463743448257</v>
      </c>
      <c r="O36" s="16">
        <f>IFERROR(IF(VALUE(RIGHT($B$28,2))&gt;$A36,0,IFERROR(AVERAGEIF('NG Futures'!$E:$E,$B36,'NG Futures'!$I:$I),"Data Missing")),0)</f>
        <v>3.3679469428694606</v>
      </c>
      <c r="P36" s="320" t="s">
        <v>128</v>
      </c>
    </row>
    <row r="37" spans="1:43" s="50" customFormat="1" ht="15.75" customHeight="1" x14ac:dyDescent="0.2">
      <c r="A37" s="124">
        <f t="shared" ref="A37:B37" si="5">A36+1</f>
        <v>23</v>
      </c>
      <c r="B37" s="124">
        <f t="shared" si="5"/>
        <v>2032</v>
      </c>
      <c r="C37" s="121">
        <f ca="1">IFERROR(IF(VALUE(RIGHT($B$28,2))&gt;$A37,0,AVERAGEIFS(Elec_On_Peak, 'Avoided AC'!$D:$D, $B37, 'Avoided AC'!$E:$E, "Summer") +
        INDEX(AEPS!$S$8:$S$37, MATCH($A37, 'General Inputs'!$F$3:$F$32, 0)) +
        OFFSET(DRIPE!$I$10, MATCH('Output (non-LI)'!$B37, DRIPE!$I$11:$I$30, 0), MATCH('Output (non-LI)'!$B$28, DRIPE!$J$10:$N$10, 0), 1, 1)),"Data Missing")</f>
        <v>73.868987295217835</v>
      </c>
      <c r="D37" s="15">
        <f ca="1">IFERROR(IF(VALUE(RIGHT($B$28,2))&gt;$A37,0,AVERAGEIFS(Elec_Off_Peak, 'Avoided AC'!$D:$D, $B37, 'Avoided AC'!$E:$E, "Summer") +
        INDEX(AEPS!$S$8:$S$37, MATCH($A37, 'General Inputs'!$F$3:$F$32, 0)) +
        OFFSET(DRIPE!$I$10, MATCH('Output (non-LI)'!$B37, DRIPE!$I$11:$I$30, 0), MATCH('Output (non-LI)'!$B$28, DRIPE!$J$10:$N$10, 0), 1, 1)),"Data Missing")</f>
        <v>43.964724476380887</v>
      </c>
      <c r="E37" s="15">
        <f ca="1">IFERROR(IF(VALUE(RIGHT($B$28,2))&gt;$A37,0,AVERAGEIFS(Elec_On_Peak, 'Avoided AC'!$D:$D, $B37, 'Avoided AC'!$E:$E, "Winter") +
        INDEX(AEPS!$S$8:$S$37, MATCH($A37, 'General Inputs'!$F$3:$F$32, 0)) +
        OFFSET(DRIPE!$I$10, MATCH('Output (non-LI)'!$B37, DRIPE!$I$11:$I$30, 0), MATCH('Output (non-LI)'!$B$28, DRIPE!$J$10:$N$10, 0), 1, 1)),"Data Missing")</f>
        <v>83.732093265613372</v>
      </c>
      <c r="F37" s="15">
        <f ca="1">IFERROR(IF(VALUE(RIGHT($B$28,2))&gt;$A37,0,AVERAGEIFS(Elec_Off_Peak, 'Avoided AC'!$D:$D, $B37, 'Avoided AC'!$E:$E, "Winter") +
        INDEX(AEPS!$S$8:$S$37, MATCH($A37, 'General Inputs'!$F$3:$F$32, 0)) +
        OFFSET(DRIPE!$I$10, MATCH('Output (non-LI)'!$B37, DRIPE!$I$11:$I$30, 0), MATCH('Output (non-LI)'!$B$28, DRIPE!$J$10:$N$10, 0), 1, 1)),"Data Missing")</f>
        <v>70.873560431640911</v>
      </c>
      <c r="G37" s="15">
        <f ca="1">IFERROR(IF(VALUE(RIGHT($B$28,2))&gt;$A37,0,AVERAGEIFS(Elec_On_Peak, 'Avoided AC'!$D:$D, $B37, 'Avoided AC'!$E:$E, "Shoulder") +
        INDEX(AEPS!$S$8:$S$37, MATCH($A37, 'General Inputs'!$F$3:$F$32, 0)) +
        OFFSET(DRIPE!$I$10, MATCH('Output (non-LI)'!$B37, DRIPE!$I$11:$I$30, 0), MATCH('Output (non-LI)'!$B$28, DRIPE!$J$10:$N$10, 0), 1, 1)),"Data Missing")</f>
        <v>60.50130560516255</v>
      </c>
      <c r="H37" s="15">
        <f ca="1">IFERROR(IF(VALUE(RIGHT($B$28,2))&gt;$A37,0,AVERAGEIFS(Elec_Off_Peak, 'Avoided AC'!$D:$D, $B37, 'Avoided AC'!$E:$E, "Shoulder") +
        INDEX(AEPS!$S$8:$S$37, MATCH($A37, 'General Inputs'!$F$3:$F$32, 0)) +
        OFFSET(DRIPE!$I$10, MATCH('Output (non-LI)'!$B37, DRIPE!$I$11:$I$30, 0), MATCH('Output (non-LI)'!$B$28, DRIPE!$J$10:$N$10, 0), 1, 1)),"Data Missing")</f>
        <v>47.752760277152532</v>
      </c>
      <c r="I37" s="15">
        <f ca="1">(IF(VALUE(RIGHT($B$28,2))&gt;$A37,0,INDEX('Generation Capacity'!$E$27:$K$48,MATCH($A37,'Generation Capacity'!$B$27:$B$48,FALSE),MATCH(EDC_NAME,'Generation Capacity'!$E$26:$K$26,FALSE))+
        OFFSET(DRIPE!$B$35,MATCH('Output (non-LI)'!$B37,DRIPE!$B$11:$B$30,0),MATCH('Output (non-LI)'!$B$28,DRIPE!$C$10:$G$10,0),1,1)))</f>
        <v>28.214799660168399</v>
      </c>
      <c r="J37" s="15">
        <f ca="1">(IF(VALUE(RIGHT($B$28,2))&gt;$A37,0,INDEX('Generation Capacity'!$E$27:$K$48,MATCH($A37,'Generation Capacity'!$B$27:$B$48,FALSE),MATCH(EDC_NAME,'Generation Capacity'!$E$26:$K$26,FALSE))+
        OFFSET(DRIPE!$I$35,MATCH('Output (non-LI)'!$B37,DRIPE!$B$11:$B$30,0),MATCH('Output (non-LI)'!$B$28,DRIPE!$C$10:$G$10,0),1,1)))</f>
        <v>28.214799660168399</v>
      </c>
      <c r="K37" s="15">
        <f ca="1">IFERROR(IF(VALUE(RIGHT($B$28,2))&gt;$A37,0,INDEX('T&amp;D Capacity'!$E$4:$K$23,MATCH($A37,'T&amp;D Capacity'!$B$4:$B$23,FALSE),MATCH(EDC_NAME,'T&amp;D Capacity'!$E$3:$K$3,FALSE))),0)</f>
        <v>9.7820268534975199</v>
      </c>
      <c r="L37" s="15">
        <f ca="1">IFERROR(IF(VALUE(RIGHT($B$28,2))&gt;$A37,0,INDEX('T&amp;D Capacity'!$E$28:$K$47,MATCH($A37,'T&amp;D Capacity'!$B$28:$B$47,FALSE),MATCH(EDC_NAME,'T&amp;D Capacity'!$E$27:$K$27,FALSE))),0)</f>
        <v>9.7820268534975199</v>
      </c>
      <c r="M37" s="15">
        <f ca="1">IFERROR(IF(VALUE(RIGHT($B$28,2))&gt;$A37,0,INDEX('T&amp;D Capacity'!$M$4:$S$23,MATCH($A37,'T&amp;D Capacity'!$B$4:$B$23,FALSE),MATCH(EDC_NAME,'T&amp;D Capacity'!$M$3:$S$3,FALSE))),0)</f>
        <v>63.482977572781131</v>
      </c>
      <c r="N37" s="15">
        <f ca="1">IFERROR(IF(VALUE(RIGHT($B$28,2))&gt;$A37,0,INDEX('T&amp;D Capacity'!$M$28:$S$47,MATCH($A37,'T&amp;D Capacity'!$B$28:$B$47,FALSE),MATCH(EDC_NAME,'T&amp;D Capacity'!$M$27:$S$27,FALSE))),0)</f>
        <v>9.2054715452904787</v>
      </c>
      <c r="O37" s="16">
        <f>IFERROR(IF(VALUE(RIGHT($B$28,2))&gt;$A37,0,IFERROR(AVERAGEIF('NG Futures'!$E:$E,$B37,'NG Futures'!$I:$I),"Data Missing")),0)</f>
        <v>3.4331546501092309</v>
      </c>
      <c r="P37" s="321"/>
    </row>
    <row r="38" spans="1:43" s="50" customFormat="1" ht="15" customHeight="1" x14ac:dyDescent="0.2">
      <c r="A38" s="124">
        <f t="shared" ref="A38:B38" si="6">A37+1</f>
        <v>24</v>
      </c>
      <c r="B38" s="124">
        <f t="shared" si="6"/>
        <v>2033</v>
      </c>
      <c r="C38" s="121">
        <f ca="1">IFERROR(IF(VALUE(RIGHT($B$28,2))&gt;$A38,0,AVERAGEIFS(Elec_On_Peak, 'Avoided AC'!$D:$D, $B38, 'Avoided AC'!$E:$E, "Summer") +
        INDEX(AEPS!$S$8:$S$37, MATCH($A38, 'General Inputs'!$F$3:$F$32, 0)) +
        OFFSET(DRIPE!$I$10, MATCH('Output (non-LI)'!$B38, DRIPE!$I$11:$I$30, 0), MATCH('Output (non-LI)'!$B$28, DRIPE!$J$10:$N$10, 0), 1, 1)),"Data Missing")</f>
        <v>76.253378015111821</v>
      </c>
      <c r="D38" s="15">
        <f ca="1">IFERROR(IF(VALUE(RIGHT($B$28,2))&gt;$A38,0,AVERAGEIFS(Elec_Off_Peak, 'Avoided AC'!$D:$D, $B38, 'Avoided AC'!$E:$E, "Summer") +
        INDEX(AEPS!$S$8:$S$37, MATCH($A38, 'General Inputs'!$F$3:$F$32, 0)) +
        OFFSET(DRIPE!$I$10, MATCH('Output (non-LI)'!$B38, DRIPE!$I$11:$I$30, 0), MATCH('Output (non-LI)'!$B$28, DRIPE!$J$10:$N$10, 0), 1, 1)),"Data Missing")</f>
        <v>45.654107122545334</v>
      </c>
      <c r="E38" s="15">
        <f ca="1">IFERROR(IF(VALUE(RIGHT($B$28,2))&gt;$A38,0,AVERAGEIFS(Elec_On_Peak, 'Avoided AC'!$D:$D, $B38, 'Avoided AC'!$E:$E, "Winter") +
        INDEX(AEPS!$S$8:$S$37, MATCH($A38, 'General Inputs'!$F$3:$F$32, 0)) +
        OFFSET(DRIPE!$I$10, MATCH('Output (non-LI)'!$B38, DRIPE!$I$11:$I$30, 0), MATCH('Output (non-LI)'!$B$28, DRIPE!$J$10:$N$10, 0), 1, 1)),"Data Missing")</f>
        <v>88.079095456708288</v>
      </c>
      <c r="F38" s="15">
        <f ca="1">IFERROR(IF(VALUE(RIGHT($B$28,2))&gt;$A38,0,AVERAGEIFS(Elec_Off_Peak, 'Avoided AC'!$D:$D, $B38, 'Avoided AC'!$E:$E, "Winter") +
        INDEX(AEPS!$S$8:$S$37, MATCH($A38, 'General Inputs'!$F$3:$F$32, 0)) +
        OFFSET(DRIPE!$I$10, MATCH('Output (non-LI)'!$B38, DRIPE!$I$11:$I$30, 0), MATCH('Output (non-LI)'!$B$28, DRIPE!$J$10:$N$10, 0), 1, 1)),"Data Missing")</f>
        <v>73.914529363865398</v>
      </c>
      <c r="G38" s="15">
        <f ca="1">IFERROR(IF(VALUE(RIGHT($B$28,2))&gt;$A38,0,AVERAGEIFS(Elec_On_Peak, 'Avoided AC'!$D:$D, $B38, 'Avoided AC'!$E:$E, "Shoulder") +
        INDEX(AEPS!$S$8:$S$37, MATCH($A38, 'General Inputs'!$F$3:$F$32, 0)) +
        OFFSET(DRIPE!$I$10, MATCH('Output (non-LI)'!$B38, DRIPE!$I$11:$I$30, 0), MATCH('Output (non-LI)'!$B$28, DRIPE!$J$10:$N$10, 0), 1, 1)),"Data Missing")</f>
        <v>62.91353075092745</v>
      </c>
      <c r="H38" s="15">
        <f ca="1">IFERROR(IF(VALUE(RIGHT($B$28,2))&gt;$A38,0,AVERAGEIFS(Elec_Off_Peak, 'Avoided AC'!$D:$D, $B38, 'Avoided AC'!$E:$E, "Shoulder") +
        INDEX(AEPS!$S$8:$S$37, MATCH($A38, 'General Inputs'!$F$3:$F$32, 0)) +
        OFFSET(DRIPE!$I$10, MATCH('Output (non-LI)'!$B38, DRIPE!$I$11:$I$30, 0), MATCH('Output (non-LI)'!$B$28, DRIPE!$J$10:$N$10, 0), 1, 1)),"Data Missing")</f>
        <v>49.461311581423566</v>
      </c>
      <c r="I38" s="15">
        <f ca="1">(IF(VALUE(RIGHT($B$28,2))&gt;$A38,0,INDEX('Generation Capacity'!$E$27:$K$48,MATCH($A38,'Generation Capacity'!$B$27:$B$48,FALSE),MATCH(EDC_NAME,'Generation Capacity'!$E$26:$K$26,FALSE))+
        OFFSET(DRIPE!$B$35,MATCH('Output (non-LI)'!$B38,DRIPE!$B$11:$B$30,0),MATCH('Output (non-LI)'!$B$28,DRIPE!$C$10:$G$10,0),1,1)))</f>
        <v>28.799281471618873</v>
      </c>
      <c r="J38" s="15">
        <f ca="1">(IF(VALUE(RIGHT($B$28,2))&gt;$A38,0,INDEX('Generation Capacity'!$E$27:$K$48,MATCH($A38,'Generation Capacity'!$B$27:$B$48,FALSE),MATCH(EDC_NAME,'Generation Capacity'!$E$26:$K$26,FALSE))+
        OFFSET(DRIPE!$I$35,MATCH('Output (non-LI)'!$B38,DRIPE!$B$11:$B$30,0),MATCH('Output (non-LI)'!$B$28,DRIPE!$C$10:$G$10,0),1,1)))</f>
        <v>28.799281471618873</v>
      </c>
      <c r="K38" s="15">
        <f ca="1">IFERROR(IF(VALUE(RIGHT($B$28,2))&gt;$A38,0,INDEX('T&amp;D Capacity'!$E$4:$K$23,MATCH($A38,'T&amp;D Capacity'!$B$4:$B$23,FALSE),MATCH(EDC_NAME,'T&amp;D Capacity'!$E$3:$K$3,FALSE))),0)</f>
        <v>9.9846657821396683</v>
      </c>
      <c r="L38" s="15">
        <f ca="1">IFERROR(IF(VALUE(RIGHT($B$28,2))&gt;$A38,0,INDEX('T&amp;D Capacity'!$E$28:$K$47,MATCH($A38,'T&amp;D Capacity'!$B$28:$B$47,FALSE),MATCH(EDC_NAME,'T&amp;D Capacity'!$E$27:$K$27,FALSE))),0)</f>
        <v>9.9846657821396683</v>
      </c>
      <c r="M38" s="15">
        <f ca="1">IFERROR(IF(VALUE(RIGHT($B$28,2))&gt;$A38,0,INDEX('T&amp;D Capacity'!$M$4:$S$23,MATCH($A38,'T&amp;D Capacity'!$B$4:$B$23,FALSE),MATCH(EDC_NAME,'T&amp;D Capacity'!$M$3:$S$3,FALSE))),0)</f>
        <v>64.798054985164484</v>
      </c>
      <c r="N38" s="15">
        <f ca="1">IFERROR(IF(VALUE(RIGHT($B$28,2))&gt;$A38,0,INDEX('T&amp;D Capacity'!$M$28:$S$47,MATCH($A38,'T&amp;D Capacity'!$B$28:$B$47,FALSE),MATCH(EDC_NAME,'T&amp;D Capacity'!$M$27:$S$27,FALSE))),0)</f>
        <v>9.396166880676569</v>
      </c>
      <c r="O38" s="16">
        <f>IFERROR(IF(VALUE(RIGHT($B$28,2))&gt;$A38,0,IFERROR(AVERAGEIF('NG Futures'!$E:$E,$B38,'NG Futures'!$I:$I),"Data Missing")),0)</f>
        <v>3.6808695479745581</v>
      </c>
      <c r="P38" s="321"/>
    </row>
    <row r="39" spans="1:43" s="50" customFormat="1" ht="15" customHeight="1" x14ac:dyDescent="0.2">
      <c r="A39" s="124">
        <f t="shared" ref="A39:B39" si="7">A38+1</f>
        <v>25</v>
      </c>
      <c r="B39" s="124">
        <f t="shared" si="7"/>
        <v>2034</v>
      </c>
      <c r="C39" s="121">
        <f ca="1">IFERROR(IF(VALUE(RIGHT($B$28,2))&gt;$A39,0,AVERAGEIFS(Elec_On_Peak, 'Avoided AC'!$D:$D, $B39, 'Avoided AC'!$E:$E, "Summer") +
        INDEX(AEPS!$S$8:$S$37, MATCH($A39, 'General Inputs'!$F$3:$F$32, 0)) +
        OFFSET(DRIPE!$I$10, MATCH('Output (non-LI)'!$B39, DRIPE!$I$11:$I$30, 0), MATCH('Output (non-LI)'!$B$28, DRIPE!$J$10:$N$10, 0), 1, 1)),"Data Missing")</f>
        <v>79.14252965970276</v>
      </c>
      <c r="D39" s="15">
        <f ca="1">IFERROR(IF(VALUE(RIGHT($B$28,2))&gt;$A39,0,AVERAGEIFS(Elec_Off_Peak, 'Avoided AC'!$D:$D, $B39, 'Avoided AC'!$E:$E, "Summer") +
        INDEX(AEPS!$S$8:$S$37, MATCH($A39, 'General Inputs'!$F$3:$F$32, 0)) +
        OFFSET(DRIPE!$I$10, MATCH('Output (non-LI)'!$B39, DRIPE!$I$11:$I$30, 0), MATCH('Output (non-LI)'!$B$28, DRIPE!$J$10:$N$10, 0), 1, 1)),"Data Missing")</f>
        <v>47.692048713186267</v>
      </c>
      <c r="E39" s="15">
        <f ca="1">IFERROR(IF(VALUE(RIGHT($B$28,2))&gt;$A39,0,AVERAGEIFS(Elec_On_Peak, 'Avoided AC'!$D:$D, $B39, 'Avoided AC'!$E:$E, "Winter") +
        INDEX(AEPS!$S$8:$S$37, MATCH($A39, 'General Inputs'!$F$3:$F$32, 0)) +
        OFFSET(DRIPE!$I$10, MATCH('Output (non-LI)'!$B39, DRIPE!$I$11:$I$30, 0), MATCH('Output (non-LI)'!$B$28, DRIPE!$J$10:$N$10, 0), 1, 1)),"Data Missing")</f>
        <v>93.471194924770529</v>
      </c>
      <c r="F39" s="15">
        <f ca="1">IFERROR(IF(VALUE(RIGHT($B$28,2))&gt;$A39,0,AVERAGEIFS(Elec_Off_Peak, 'Avoided AC'!$D:$D, $B39, 'Avoided AC'!$E:$E, "Winter") +
        INDEX(AEPS!$S$8:$S$37, MATCH($A39, 'General Inputs'!$F$3:$F$32, 0)) +
        OFFSET(DRIPE!$I$10, MATCH('Output (non-LI)'!$B39, DRIPE!$I$11:$I$30, 0), MATCH('Output (non-LI)'!$B$28, DRIPE!$J$10:$N$10, 0), 1, 1)),"Data Missing")</f>
        <v>77.676169201749133</v>
      </c>
      <c r="G39" s="15">
        <f ca="1">IFERROR(IF(VALUE(RIGHT($B$28,2))&gt;$A39,0,AVERAGEIFS(Elec_On_Peak, 'Avoided AC'!$D:$D, $B39, 'Avoided AC'!$E:$E, "Shoulder") +
        INDEX(AEPS!$S$8:$S$37, MATCH($A39, 'General Inputs'!$F$3:$F$32, 0)) +
        OFFSET(DRIPE!$I$10, MATCH('Output (non-LI)'!$B39, DRIPE!$I$11:$I$30, 0), MATCH('Output (non-LI)'!$B$28, DRIPE!$J$10:$N$10, 0), 1, 1)),"Data Missing")</f>
        <v>66.126633394468271</v>
      </c>
      <c r="H39" s="15">
        <f ca="1">IFERROR(IF(VALUE(RIGHT($B$28,2))&gt;$A39,0,AVERAGEIFS(Elec_Off_Peak, 'Avoided AC'!$D:$D, $B39, 'Avoided AC'!$E:$E, "Shoulder") +
        INDEX(AEPS!$S$8:$S$37, MATCH($A39, 'General Inputs'!$F$3:$F$32, 0)) +
        OFFSET(DRIPE!$I$10, MATCH('Output (non-LI)'!$B39, DRIPE!$I$11:$I$30, 0), MATCH('Output (non-LI)'!$B$28, DRIPE!$J$10:$N$10, 0), 1, 1)),"Data Missing")</f>
        <v>51.722347622474587</v>
      </c>
      <c r="I39" s="15">
        <f ca="1">(IF(VALUE(RIGHT($B$28,2))&gt;$A39,0,INDEX('Generation Capacity'!$E$27:$K$48,MATCH($A39,'Generation Capacity'!$B$27:$B$48,FALSE),MATCH(EDC_NAME,'Generation Capacity'!$E$26:$K$26,FALSE))+
        OFFSET(DRIPE!$B$35,MATCH('Output (non-LI)'!$B39,DRIPE!$B$11:$B$30,0),MATCH('Output (non-LI)'!$B$28,DRIPE!$C$10:$G$10,0),1,1)))</f>
        <v>29.395871077277739</v>
      </c>
      <c r="J39" s="15">
        <f ca="1">(IF(VALUE(RIGHT($B$28,2))&gt;$A39,0,INDEX('Generation Capacity'!$E$27:$K$48,MATCH($A39,'Generation Capacity'!$B$27:$B$48,FALSE),MATCH(EDC_NAME,'Generation Capacity'!$E$26:$K$26,FALSE))+
        OFFSET(DRIPE!$I$35,MATCH('Output (non-LI)'!$B39,DRIPE!$B$11:$B$30,0),MATCH('Output (non-LI)'!$B$28,DRIPE!$C$10:$G$10,0),1,1)))</f>
        <v>29.395871077277739</v>
      </c>
      <c r="K39" s="15">
        <f ca="1">IFERROR(IF(VALUE(RIGHT($B$28,2))&gt;$A39,0,INDEX('T&amp;D Capacity'!$E$4:$K$23,MATCH($A39,'T&amp;D Capacity'!$B$4:$B$23,FALSE),MATCH(EDC_NAME,'T&amp;D Capacity'!$E$3:$K$3,FALSE))),0)</f>
        <v>10.191502464071213</v>
      </c>
      <c r="L39" s="15">
        <f ca="1">IFERROR(IF(VALUE(RIGHT($B$28,2))&gt;$A39,0,INDEX('T&amp;D Capacity'!$E$28:$K$47,MATCH($A39,'T&amp;D Capacity'!$B$28:$B$47,FALSE),MATCH(EDC_NAME,'T&amp;D Capacity'!$E$27:$K$27,FALSE))),0)</f>
        <v>10.191502464071213</v>
      </c>
      <c r="M39" s="15">
        <f ca="1">IFERROR(IF(VALUE(RIGHT($B$28,2))&gt;$A39,0,INDEX('T&amp;D Capacity'!$M$4:$S$23,MATCH($A39,'T&amp;D Capacity'!$B$4:$B$23,FALSE),MATCH(EDC_NAME,'T&amp;D Capacity'!$M$3:$S$3,FALSE))),0)</f>
        <v>66.140374796481908</v>
      </c>
      <c r="N39" s="15">
        <f ca="1">IFERROR(IF(VALUE(RIGHT($B$28,2))&gt;$A39,0,INDEX('T&amp;D Capacity'!$M$28:$S$47,MATCH($A39,'T&amp;D Capacity'!$B$28:$B$47,FALSE),MATCH(EDC_NAME,'T&amp;D Capacity'!$M$27:$S$27,FALSE))),0)</f>
        <v>9.5908125526379333</v>
      </c>
      <c r="O39" s="16">
        <f>IFERROR(IF(VALUE(RIGHT($B$28,2))&gt;$A39,0,IFERROR(AVERAGEIF('NG Futures'!$E:$E,$B39,'NG Futures'!$I:$I),"Data Missing")),0)</f>
        <v>3.9952671302460749</v>
      </c>
      <c r="P39" s="321"/>
    </row>
    <row r="40" spans="1:43" s="50" customFormat="1" ht="15" customHeight="1" x14ac:dyDescent="0.2">
      <c r="A40" s="124">
        <f t="shared" ref="A40:B40" si="8">A39+1</f>
        <v>26</v>
      </c>
      <c r="B40" s="124">
        <f t="shared" si="8"/>
        <v>2035</v>
      </c>
      <c r="C40" s="121">
        <f ca="1">IFERROR(IF(VALUE(RIGHT($B$28,2))&gt;$A40,0,AVERAGEIFS(Elec_On_Peak, 'Avoided AC'!$D:$D, $B40, 'Avoided AC'!$E:$E, "Summer") +
        INDEX(AEPS!$S$8:$S$37, MATCH($A40, 'General Inputs'!$F$3:$F$32, 0)) +
        OFFSET(DRIPE!$I$10, MATCH('Output (non-LI)'!$B40, DRIPE!$I$11:$I$30, 0), MATCH('Output (non-LI)'!$B$28, DRIPE!$J$10:$N$10, 0), 1, 1)),"Data Missing")</f>
        <v>81.931582500549922</v>
      </c>
      <c r="D40" s="15">
        <f ca="1">IFERROR(IF(VALUE(RIGHT($B$28,2))&gt;$A40,0,AVERAGEIFS(Elec_Off_Peak, 'Avoided AC'!$D:$D, $B40, 'Avoided AC'!$E:$E, "Summer") +
        INDEX(AEPS!$S$8:$S$37, MATCH($A40, 'General Inputs'!$F$3:$F$32, 0)) +
        OFFSET(DRIPE!$I$10, MATCH('Output (non-LI)'!$B40, DRIPE!$I$11:$I$30, 0), MATCH('Output (non-LI)'!$B$28, DRIPE!$J$10:$N$10, 0), 1, 1)),"Data Missing")</f>
        <v>49.662021082051282</v>
      </c>
      <c r="E40" s="15">
        <f ca="1">IFERROR(IF(VALUE(RIGHT($B$28,2))&gt;$A40,0,AVERAGEIFS(Elec_On_Peak, 'Avoided AC'!$D:$D, $B40, 'Avoided AC'!$E:$E, "Winter") +
        INDEX(AEPS!$S$8:$S$37, MATCH($A40, 'General Inputs'!$F$3:$F$32, 0)) +
        OFFSET(DRIPE!$I$10, MATCH('Output (non-LI)'!$B40, DRIPE!$I$11:$I$30, 0), MATCH('Output (non-LI)'!$B$28, DRIPE!$J$10:$N$10, 0), 1, 1)),"Data Missing")</f>
        <v>98.520653422665092</v>
      </c>
      <c r="F40" s="15">
        <f ca="1">IFERROR(IF(VALUE(RIGHT($B$28,2))&gt;$A40,0,AVERAGEIFS(Elec_Off_Peak, 'Avoided AC'!$D:$D, $B40, 'Avoided AC'!$E:$E, "Winter") +
        INDEX(AEPS!$S$8:$S$37, MATCH($A40, 'General Inputs'!$F$3:$F$32, 0)) +
        OFFSET(DRIPE!$I$10, MATCH('Output (non-LI)'!$B40, DRIPE!$I$11:$I$30, 0), MATCH('Output (non-LI)'!$B$28, DRIPE!$J$10:$N$10, 0), 1, 1)),"Data Missing")</f>
        <v>81.202808965984232</v>
      </c>
      <c r="G40" s="15">
        <f ca="1">IFERROR(IF(VALUE(RIGHT($B$28,2))&gt;$A40,0,AVERAGEIFS(Elec_On_Peak, 'Avoided AC'!$D:$D, $B40, 'Avoided AC'!$E:$E, "Shoulder") +
        INDEX(AEPS!$S$8:$S$37, MATCH($A40, 'General Inputs'!$F$3:$F$32, 0)) +
        OFFSET(DRIPE!$I$10, MATCH('Output (non-LI)'!$B40, DRIPE!$I$11:$I$30, 0), MATCH('Output (non-LI)'!$B$28, DRIPE!$J$10:$N$10, 0), 1, 1)),"Data Missing")</f>
        <v>69.337733057302913</v>
      </c>
      <c r="H40" s="15">
        <f ca="1">IFERROR(IF(VALUE(RIGHT($B$28,2))&gt;$A40,0,AVERAGEIFS(Elec_Off_Peak, 'Avoided AC'!$D:$D, $B40, 'Avoided AC'!$E:$E, "Shoulder") +
        INDEX(AEPS!$S$8:$S$37, MATCH($A40, 'General Inputs'!$F$3:$F$32, 0)) +
        OFFSET(DRIPE!$I$10, MATCH('Output (non-LI)'!$B40, DRIPE!$I$11:$I$30, 0), MATCH('Output (non-LI)'!$B$28, DRIPE!$J$10:$N$10, 0), 1, 1)),"Data Missing")</f>
        <v>53.982969824505226</v>
      </c>
      <c r="I40" s="15">
        <f ca="1">(IF(VALUE(RIGHT($B$28,2))&gt;$A40,0,INDEX('Generation Capacity'!$E$27:$K$48,MATCH($A40,'Generation Capacity'!$B$27:$B$48,FALSE),MATCH(EDC_NAME,'Generation Capacity'!$E$26:$K$26,FALSE))+
        OFFSET(DRIPE!$B$35,MATCH('Output (non-LI)'!$B40,DRIPE!$B$11:$B$30,0),MATCH('Output (non-LI)'!$B$28,DRIPE!$C$10:$G$10,0),1,1)))</f>
        <v>30.004819295353062</v>
      </c>
      <c r="J40" s="15">
        <f ca="1">(IF(VALUE(RIGHT($B$28,2))&gt;$A40,0,INDEX('Generation Capacity'!$E$27:$K$48,MATCH($A40,'Generation Capacity'!$B$27:$B$48,FALSE),MATCH(EDC_NAME,'Generation Capacity'!$E$26:$K$26,FALSE))+
        OFFSET(DRIPE!$I$35,MATCH('Output (non-LI)'!$B40,DRIPE!$B$11:$B$30,0),MATCH('Output (non-LI)'!$B$28,DRIPE!$C$10:$G$10,0),1,1)))</f>
        <v>30.004819295353062</v>
      </c>
      <c r="K40" s="15">
        <f ca="1">IFERROR(IF(VALUE(RIGHT($B$28,2))&gt;$A40,0,INDEX('T&amp;D Capacity'!$E$4:$K$23,MATCH($A40,'T&amp;D Capacity'!$B$4:$B$23,FALSE),MATCH(EDC_NAME,'T&amp;D Capacity'!$E$3:$K$3,FALSE))),0)</f>
        <v>10.402623857572072</v>
      </c>
      <c r="L40" s="15">
        <f ca="1">IFERROR(IF(VALUE(RIGHT($B$28,2))&gt;$A40,0,INDEX('T&amp;D Capacity'!$E$28:$K$47,MATCH($A40,'T&amp;D Capacity'!$B$28:$B$47,FALSE),MATCH(EDC_NAME,'T&amp;D Capacity'!$E$27:$K$27,FALSE))),0)</f>
        <v>10.402623857572072</v>
      </c>
      <c r="M40" s="15">
        <f ca="1">IFERROR(IF(VALUE(RIGHT($B$28,2))&gt;$A40,0,INDEX('T&amp;D Capacity'!$M$4:$S$23,MATCH($A40,'T&amp;D Capacity'!$B$4:$B$23,FALSE),MATCH(EDC_NAME,'T&amp;D Capacity'!$M$3:$S$3,FALSE))),0)</f>
        <v>67.510501344842098</v>
      </c>
      <c r="N40" s="15">
        <f ca="1">IFERROR(IF(VALUE(RIGHT($B$28,2))&gt;$A40,0,INDEX('T&amp;D Capacity'!$M$28:$S$47,MATCH($A40,'T&amp;D Capacity'!$B$28:$B$47,FALSE),MATCH(EDC_NAME,'T&amp;D Capacity'!$M$27:$S$27,FALSE))),0)</f>
        <v>9.7894903941099525</v>
      </c>
      <c r="O40" s="16">
        <f>IFERROR(IF(VALUE(RIGHT($B$28,2))&gt;$A40,0,IFERROR(AVERAGEIF('NG Futures'!$E:$E,$B40,'NG Futures'!$I:$I),"Data Missing")),0)</f>
        <v>4.297775585014695</v>
      </c>
      <c r="P40" s="321"/>
    </row>
    <row r="41" spans="1:43" s="50" customFormat="1" ht="15.75" customHeight="1" x14ac:dyDescent="0.2">
      <c r="A41" s="124">
        <f t="shared" ref="A41:B41" si="9">A40+1</f>
        <v>27</v>
      </c>
      <c r="B41" s="124">
        <f t="shared" si="9"/>
        <v>2036</v>
      </c>
      <c r="C41" s="121">
        <f ca="1">IFERROR(IF(VALUE(RIGHT($B$28,2))&gt;$A41,0,AVERAGEIFS(Elec_On_Peak, 'Avoided AC'!$D:$D, $B41, 'Avoided AC'!$E:$E, "Summer") +
        INDEX(AEPS!$S$8:$S$37, MATCH($A41, 'General Inputs'!$F$3:$F$32, 0)) +
        OFFSET(DRIPE!$I$10, MATCH('Output (non-LI)'!$B41, DRIPE!$I$11:$I$30, 0), MATCH('Output (non-LI)'!$B$28, DRIPE!$J$10:$N$10, 0), 1, 1)),"Data Missing")</f>
        <v>84.516854392089215</v>
      </c>
      <c r="D41" s="15">
        <f ca="1">IFERROR(IF(VALUE(RIGHT($B$28,2))&gt;$A41,0,AVERAGEIFS(Elec_Off_Peak, 'Avoided AC'!$D:$D, $B41, 'Avoided AC'!$E:$E, "Summer") +
        INDEX(AEPS!$S$8:$S$37, MATCH($A41, 'General Inputs'!$F$3:$F$32, 0)) +
        OFFSET(DRIPE!$I$10, MATCH('Output (non-LI)'!$B41, DRIPE!$I$11:$I$30, 0), MATCH('Output (non-LI)'!$B$28, DRIPE!$J$10:$N$10, 0), 1, 1)),"Data Missing")</f>
        <v>51.492641039859841</v>
      </c>
      <c r="E41" s="15">
        <f ca="1">IFERROR(IF(VALUE(RIGHT($B$28,2))&gt;$A41,0,AVERAGEIFS(Elec_On_Peak, 'Avoided AC'!$D:$D, $B41, 'Avoided AC'!$E:$E, "Winter") +
        INDEX(AEPS!$S$8:$S$37, MATCH($A41, 'General Inputs'!$F$3:$F$32, 0)) +
        OFFSET(DRIPE!$I$10, MATCH('Output (non-LI)'!$B41, DRIPE!$I$11:$I$30, 0), MATCH('Output (non-LI)'!$B$28, DRIPE!$J$10:$N$10, 0), 1, 1)),"Data Missing")</f>
        <v>103.08041583716579</v>
      </c>
      <c r="F41" s="15">
        <f ca="1">IFERROR(IF(VALUE(RIGHT($B$28,2))&gt;$A41,0,AVERAGEIFS(Elec_Off_Peak, 'Avoided AC'!$D:$D, $B41, 'Avoided AC'!$E:$E, "Winter") +
        INDEX(AEPS!$S$8:$S$37, MATCH($A41, 'General Inputs'!$F$3:$F$32, 0)) +
        OFFSET(DRIPE!$I$10, MATCH('Output (non-LI)'!$B41, DRIPE!$I$11:$I$30, 0), MATCH('Output (non-LI)'!$B$28, DRIPE!$J$10:$N$10, 0), 1, 1)),"Data Missing")</f>
        <v>84.393195924011735</v>
      </c>
      <c r="G41" s="15">
        <f ca="1">IFERROR(IF(VALUE(RIGHT($B$28,2))&gt;$A41,0,AVERAGEIFS(Elec_On_Peak, 'Avoided AC'!$D:$D, $B41, 'Avoided AC'!$E:$E, "Shoulder") +
        INDEX(AEPS!$S$8:$S$37, MATCH($A41, 'General Inputs'!$F$3:$F$32, 0)) +
        OFFSET(DRIPE!$I$10, MATCH('Output (non-LI)'!$B41, DRIPE!$I$11:$I$30, 0), MATCH('Output (non-LI)'!$B$28, DRIPE!$J$10:$N$10, 0), 1, 1)),"Data Missing")</f>
        <v>72.077429177743937</v>
      </c>
      <c r="H41" s="15">
        <f ca="1">IFERROR(IF(VALUE(RIGHT($B$28,2))&gt;$A41,0,AVERAGEIFS(Elec_Off_Peak, 'Avoided AC'!$D:$D, $B41, 'Avoided AC'!$E:$E, "Shoulder") +
        INDEX(AEPS!$S$8:$S$37, MATCH($A41, 'General Inputs'!$F$3:$F$32, 0)) +
        OFFSET(DRIPE!$I$10, MATCH('Output (non-LI)'!$B41, DRIPE!$I$11:$I$30, 0), MATCH('Output (non-LI)'!$B$28, DRIPE!$J$10:$N$10, 0), 1, 1)),"Data Missing")</f>
        <v>55.919936694619999</v>
      </c>
      <c r="I41" s="15">
        <f ca="1">(IF(VALUE(RIGHT($B$28,2))&gt;$A41,0,INDEX('Generation Capacity'!$E$27:$K$48,MATCH($A41,'Generation Capacity'!$B$27:$B$48,FALSE),MATCH(EDC_NAME,'Generation Capacity'!$E$26:$K$26,FALSE))+
        OFFSET(DRIPE!$B$35,MATCH('Output (non-LI)'!$B41,DRIPE!$B$11:$B$30,0),MATCH('Output (non-LI)'!$B$28,DRIPE!$C$10:$G$10,0),1,1)))</f>
        <v>30.626382139860866</v>
      </c>
      <c r="J41" s="15">
        <f ca="1">(IF(VALUE(RIGHT($B$28,2))&gt;$A41,0,INDEX('Generation Capacity'!$E$27:$K$48,MATCH($A41,'Generation Capacity'!$B$27:$B$48,FALSE),MATCH(EDC_NAME,'Generation Capacity'!$E$26:$K$26,FALSE))+
        OFFSET(DRIPE!$I$35,MATCH('Output (non-LI)'!$B41,DRIPE!$B$11:$B$30,0),MATCH('Output (non-LI)'!$B$28,DRIPE!$C$10:$G$10,0),1,1)))</f>
        <v>30.626382139860866</v>
      </c>
      <c r="K41" s="15">
        <f ca="1">IFERROR(IF(VALUE(RIGHT($B$28,2))&gt;$A41,0,INDEX('T&amp;D Capacity'!$E$4:$K$23,MATCH($A41,'T&amp;D Capacity'!$B$4:$B$23,FALSE),MATCH(EDC_NAME,'T&amp;D Capacity'!$E$3:$K$3,FALSE))),0)</f>
        <v>10.61811872230064</v>
      </c>
      <c r="L41" s="15">
        <f ca="1">IFERROR(IF(VALUE(RIGHT($B$28,2))&gt;$A41,0,INDEX('T&amp;D Capacity'!$E$28:$K$47,MATCH($A41,'T&amp;D Capacity'!$B$28:$B$47,FALSE),MATCH(EDC_NAME,'T&amp;D Capacity'!$E$27:$K$27,FALSE))),0)</f>
        <v>10.61811872230064</v>
      </c>
      <c r="M41" s="15">
        <f ca="1">IFERROR(IF(VALUE(RIGHT($B$28,2))&gt;$A41,0,INDEX('T&amp;D Capacity'!$M$4:$S$23,MATCH($A41,'T&amp;D Capacity'!$B$4:$B$23,FALSE),MATCH(EDC_NAME,'T&amp;D Capacity'!$M$3:$S$3,FALSE))),0)</f>
        <v>68.909010658862414</v>
      </c>
      <c r="N41" s="15">
        <f ca="1">IFERROR(IF(VALUE(RIGHT($B$28,2))&gt;$A41,0,INDEX('T&amp;D Capacity'!$M$28:$S$47,MATCH($A41,'T&amp;D Capacity'!$B$28:$B$47,FALSE),MATCH(EDC_NAME,'T&amp;D Capacity'!$M$27:$S$27,FALSE))),0)</f>
        <v>9.9922839332327538</v>
      </c>
      <c r="O41" s="16">
        <f>IFERROR(IF(VALUE(RIGHT($B$28,2))&gt;$A41,0,IFERROR(AVERAGEIF('NG Futures'!$E:$E,$B41,'NG Futures'!$I:$I),"Data Missing")),0)</f>
        <v>4.5669539736620006</v>
      </c>
      <c r="P41" s="322"/>
    </row>
    <row r="42" spans="1:43" s="50" customFormat="1" ht="15" customHeight="1" x14ac:dyDescent="0.2">
      <c r="A42" s="124">
        <f t="shared" ref="A42:B42" si="10">A41+1</f>
        <v>28</v>
      </c>
      <c r="B42" s="124">
        <f t="shared" si="10"/>
        <v>2037</v>
      </c>
      <c r="C42" s="122">
        <f ca="1">IFERROR(IF(VALUE(RIGHT($B$28,2))&gt;$A42,0,AVERAGEIFS(Elec_On_Peak, 'Avoided AC'!$D:$D, $B42, 'Avoided AC'!$E:$E, "Summer") +
        INDEX(AEPS!$S$8:$S$37, MATCH($A42, 'General Inputs'!$F$3:$F$32, 0)) +
        OFFSET(DRIPE!$I$10, MATCH('Output (non-LI)'!$B42, DRIPE!$I$11:$I$30, 0), MATCH('Output (non-LI)'!$B$28, DRIPE!$J$10:$N$10, 0), 1, 1)),"Data Missing")</f>
        <v>86.081181235321466</v>
      </c>
      <c r="D42" s="17">
        <f ca="1">IFERROR(IF(VALUE(RIGHT($B$28,2))&gt;$A42,0,AVERAGEIFS(Elec_Off_Peak, 'Avoided AC'!$D:$D, $B42, 'Avoided AC'!$E:$E, "Summer") +
        INDEX(AEPS!$S$8:$S$37, MATCH($A42, 'General Inputs'!$F$3:$F$32, 0)) +
        OFFSET(DRIPE!$I$10, MATCH('Output (non-LI)'!$B42, DRIPE!$I$11:$I$30, 0), MATCH('Output (non-LI)'!$B$28, DRIPE!$J$10:$N$10, 0), 1, 1)),"Data Missing")</f>
        <v>52.621174113714616</v>
      </c>
      <c r="E42" s="17">
        <f ca="1">IFERROR(IF(VALUE(RIGHT($B$28,2))&gt;$A42,0,AVERAGEIFS(Elec_On_Peak, 'Avoided AC'!$D:$D, $B42, 'Avoided AC'!$E:$E, "Winter") +
        INDEX(AEPS!$S$8:$S$37, MATCH($A42, 'General Inputs'!$F$3:$F$32, 0)) +
        OFFSET(DRIPE!$I$10, MATCH('Output (non-LI)'!$B42, DRIPE!$I$11:$I$30, 0), MATCH('Output (non-LI)'!$B$28, DRIPE!$J$10:$N$10, 0), 1, 1)),"Data Missing")</f>
        <v>106.26257643562121</v>
      </c>
      <c r="F42" s="17">
        <f ca="1">IFERROR(IF(VALUE(RIGHT($B$28,2))&gt;$A42,0,AVERAGEIFS(Elec_Off_Peak, 'Avoided AC'!$D:$D, $B42, 'Avoided AC'!$E:$E, "Winter") +
        INDEX(AEPS!$S$8:$S$37, MATCH($A42, 'General Inputs'!$F$3:$F$32, 0)) +
        OFFSET(DRIPE!$I$10, MATCH('Output (non-LI)'!$B42, DRIPE!$I$11:$I$30, 0), MATCH('Output (non-LI)'!$B$28, DRIPE!$J$10:$N$10, 0), 1, 1)),"Data Missing")</f>
        <v>86.635878155135345</v>
      </c>
      <c r="G42" s="17">
        <f ca="1">IFERROR(IF(VALUE(RIGHT($B$28,2))&gt;$A42,0,AVERAGEIFS(Elec_On_Peak, 'Avoided AC'!$D:$D, $B42, 'Avoided AC'!$E:$E, "Shoulder") +
        INDEX(AEPS!$S$8:$S$37, MATCH($A42, 'General Inputs'!$F$3:$F$32, 0)) +
        OFFSET(DRIPE!$I$10, MATCH('Output (non-LI)'!$B42, DRIPE!$I$11:$I$30, 0), MATCH('Output (non-LI)'!$B$28, DRIPE!$J$10:$N$10, 0), 1, 1)),"Data Missing")</f>
        <v>73.788927663757889</v>
      </c>
      <c r="H42" s="17">
        <f ca="1">IFERROR(IF(VALUE(RIGHT($B$28,2))&gt;$A42,0,AVERAGEIFS(Elec_Off_Peak, 'Avoided AC'!$D:$D, $B42, 'Avoided AC'!$E:$E, "Shoulder") +
        INDEX(AEPS!$S$8:$S$37, MATCH($A42, 'General Inputs'!$F$3:$F$32, 0)) +
        OFFSET(DRIPE!$I$10, MATCH('Output (non-LI)'!$B42, DRIPE!$I$11:$I$30, 0), MATCH('Output (non-LI)'!$B$28, DRIPE!$J$10:$N$10, 0), 1, 1)),"Data Missing")</f>
        <v>57.149822062089441</v>
      </c>
      <c r="I42" s="17">
        <f ca="1">(IF(VALUE(RIGHT($B$28,2))&gt;$A42,0,INDEX('Generation Capacity'!$E$27:$K$48,MATCH($A42,'Generation Capacity'!$B$27:$B$48,FALSE),MATCH(EDC_NAME,'Generation Capacity'!$E$26:$K$26,FALSE))+
        OFFSET(DRIPE!$B$35,MATCH('Output (non-LI)'!$B42,DRIPE!$B$11:$B$30,0),MATCH('Output (non-LI)'!$B$28,DRIPE!$C$10:$G$10,0),1,1)))</f>
        <v>31.260820928258536</v>
      </c>
      <c r="J42" s="17">
        <f ca="1">(IF(VALUE(RIGHT($B$28,2))&gt;$A42,0,INDEX('Generation Capacity'!$E$27:$K$48,MATCH($A42,'Generation Capacity'!$B$27:$B$48,FALSE),MATCH(EDC_NAME,'Generation Capacity'!$E$26:$K$26,FALSE))+
        OFFSET(DRIPE!$I$35,MATCH('Output (non-LI)'!$B42,DRIPE!$B$11:$B$30,0),MATCH('Output (non-LI)'!$B$28,DRIPE!$C$10:$G$10,0),1,1)))</f>
        <v>31.260820928258536</v>
      </c>
      <c r="K42" s="17">
        <f ca="1">IFERROR(IF(VALUE(RIGHT($B$28,2))&gt;$A42,0,INDEX('T&amp;D Capacity'!$E$4:$K$23,MATCH($A42,'T&amp;D Capacity'!$B$4:$B$23,FALSE),MATCH(EDC_NAME,'T&amp;D Capacity'!$E$3:$K$3,FALSE))),0)</f>
        <v>10.838077656610132</v>
      </c>
      <c r="L42" s="17">
        <f ca="1">IFERROR(IF(VALUE(RIGHT($B$28,2))&gt;$A42,0,INDEX('T&amp;D Capacity'!$E$28:$K$47,MATCH($A42,'T&amp;D Capacity'!$B$28:$B$47,FALSE),MATCH(EDC_NAME,'T&amp;D Capacity'!$E$27:$K$27,FALSE))),0)</f>
        <v>10.838077656610132</v>
      </c>
      <c r="M42" s="17">
        <f ca="1">IFERROR(IF(VALUE(RIGHT($B$28,2))&gt;$A42,0,INDEX('T&amp;D Capacity'!$M$4:$S$23,MATCH($A42,'T&amp;D Capacity'!$B$4:$B$23,FALSE),MATCH(EDC_NAME,'T&amp;D Capacity'!$M$3:$S$3,FALSE))),0)</f>
        <v>70.336490699842841</v>
      </c>
      <c r="N42" s="17">
        <f ca="1">IFERROR(IF(VALUE(RIGHT($B$28,2))&gt;$A42,0,INDEX('T&amp;D Capacity'!$M$28:$S$47,MATCH($A42,'T&amp;D Capacity'!$B$28:$B$47,FALSE),MATCH(EDC_NAME,'T&amp;D Capacity'!$M$27:$S$27,FALSE))),0)</f>
        <v>10.199278428468112</v>
      </c>
      <c r="O42" s="18">
        <f>IFERROR(IF(VALUE(RIGHT($B$28,2))&gt;$A42,0,IFERROR(AVERAGEIF('NG Futures'!$E:$E,$B42,'NG Futures'!$I:$I),"Data Missing")),0)</f>
        <v>4.7349761155534029</v>
      </c>
      <c r="P42" s="323" t="s">
        <v>129</v>
      </c>
    </row>
    <row r="43" spans="1:43" s="50" customFormat="1" ht="15" customHeight="1" x14ac:dyDescent="0.2">
      <c r="A43" s="124">
        <f t="shared" ref="A43:B43" si="11">A42+1</f>
        <v>29</v>
      </c>
      <c r="B43" s="124">
        <f t="shared" si="11"/>
        <v>2038</v>
      </c>
      <c r="C43" s="122">
        <f ca="1">IFERROR(IF(VALUE(RIGHT($B$28,2))&gt;$A43,0,AVERAGEIFS(Elec_On_Peak, 'Avoided AC'!$D:$D, $B43, 'Avoided AC'!$E:$E, "Summer") +
        INDEX(AEPS!$S$8:$S$37, MATCH($A43, 'General Inputs'!$F$3:$F$32, 0)) +
        OFFSET(DRIPE!$I$10, MATCH('Output (non-LI)'!$B43, DRIPE!$I$11:$I$30, 0), MATCH('Output (non-LI)'!$B$28, DRIPE!$J$10:$N$10, 0), 1, 1)),"Data Missing")</f>
        <v>85.471926709319376</v>
      </c>
      <c r="D43" s="17">
        <f ca="1">IFERROR(IF(VALUE(RIGHT($B$28,2))&gt;$A43,0,AVERAGEIFS(Elec_Off_Peak, 'Avoided AC'!$D:$D, $B43, 'Avoided AC'!$E:$E, "Summer") +
        INDEX(AEPS!$S$8:$S$37, MATCH($A43, 'General Inputs'!$F$3:$F$32, 0)) +
        OFFSET(DRIPE!$I$10, MATCH('Output (non-LI)'!$B43, DRIPE!$I$11:$I$30, 0), MATCH('Output (non-LI)'!$B$28, DRIPE!$J$10:$N$10, 0), 1, 1)),"Data Missing")</f>
        <v>52.253857485063904</v>
      </c>
      <c r="E43" s="17">
        <f ca="1">IFERROR(IF(VALUE(RIGHT($B$28,2))&gt;$A43,0,AVERAGEIFS(Elec_On_Peak, 'Avoided AC'!$D:$D, $B43, 'Avoided AC'!$E:$E, "Winter") +
        INDEX(AEPS!$S$8:$S$37, MATCH($A43, 'General Inputs'!$F$3:$F$32, 0)) +
        OFFSET(DRIPE!$I$10, MATCH('Output (non-LI)'!$B43, DRIPE!$I$11:$I$30, 0), MATCH('Output (non-LI)'!$B$28, DRIPE!$J$10:$N$10, 0), 1, 1)),"Data Missing")</f>
        <v>104.53955523637298</v>
      </c>
      <c r="F43" s="17">
        <f ca="1">IFERROR(IF(VALUE(RIGHT($B$28,2))&gt;$A43,0,AVERAGEIFS(Elec_Off_Peak, 'Avoided AC'!$D:$D, $B43, 'Avoided AC'!$E:$E, "Winter") +
        INDEX(AEPS!$S$8:$S$37, MATCH($A43, 'General Inputs'!$F$3:$F$32, 0)) +
        OFFSET(DRIPE!$I$10, MATCH('Output (non-LI)'!$B43, DRIPE!$I$11:$I$30, 0), MATCH('Output (non-LI)'!$B$28, DRIPE!$J$10:$N$10, 0), 1, 1)),"Data Missing")</f>
        <v>85.501546871001608</v>
      </c>
      <c r="G43" s="17">
        <f ca="1">IFERROR(IF(VALUE(RIGHT($B$28,2))&gt;$A43,0,AVERAGEIFS(Elec_On_Peak, 'Avoided AC'!$D:$D, $B43, 'Avoided AC'!$E:$E, "Shoulder") +
        INDEX(AEPS!$S$8:$S$37, MATCH($A43, 'General Inputs'!$F$3:$F$32, 0)) +
        OFFSET(DRIPE!$I$10, MATCH('Output (non-LI)'!$B43, DRIPE!$I$11:$I$30, 0), MATCH('Output (non-LI)'!$B$28, DRIPE!$J$10:$N$10, 0), 1, 1)),"Data Missing")</f>
        <v>73.061660447706672</v>
      </c>
      <c r="H43" s="17">
        <f ca="1">IFERROR(IF(VALUE(RIGHT($B$28,2))&gt;$A43,0,AVERAGEIFS(Elec_Off_Peak, 'Avoided AC'!$D:$D, $B43, 'Avoided AC'!$E:$E, "Shoulder") +
        INDEX(AEPS!$S$8:$S$37, MATCH($A43, 'General Inputs'!$F$3:$F$32, 0)) +
        OFFSET(DRIPE!$I$10, MATCH('Output (non-LI)'!$B43, DRIPE!$I$11:$I$30, 0), MATCH('Output (non-LI)'!$B$28, DRIPE!$J$10:$N$10, 0), 1, 1)),"Data Missing")</f>
        <v>56.701233956229913</v>
      </c>
      <c r="I43" s="17">
        <f ca="1">(IF(VALUE(RIGHT($B$28,2))&gt;$A43,0,INDEX('Generation Capacity'!$E$27:$K$48,MATCH($A43,'Generation Capacity'!$B$27:$B$48,FALSE),MATCH(EDC_NAME,'Generation Capacity'!$E$26:$K$26,FALSE))+
        OFFSET(DRIPE!$B$35,MATCH('Output (non-LI)'!$B43,DRIPE!$B$11:$B$30,0),MATCH('Output (non-LI)'!$B$28,DRIPE!$C$10:$G$10,0),1,1)))</f>
        <v>31.908402391307927</v>
      </c>
      <c r="J43" s="17">
        <f ca="1">(IF(VALUE(RIGHT($B$28,2))&gt;$A43,0,INDEX('Generation Capacity'!$E$27:$K$48,MATCH($A43,'Generation Capacity'!$B$27:$B$48,FALSE),MATCH(EDC_NAME,'Generation Capacity'!$E$26:$K$26,FALSE))+
        OFFSET(DRIPE!$I$35,MATCH('Output (non-LI)'!$B43,DRIPE!$B$11:$B$30,0),MATCH('Output (non-LI)'!$B$28,DRIPE!$C$10:$G$10,0),1,1)))</f>
        <v>31.908402391307927</v>
      </c>
      <c r="K43" s="17">
        <f ca="1">IFERROR(IF(VALUE(RIGHT($B$28,2))&gt;$A43,0,INDEX('T&amp;D Capacity'!$E$4:$K$23,MATCH($A43,'T&amp;D Capacity'!$B$4:$B$23,FALSE),MATCH(EDC_NAME,'T&amp;D Capacity'!$E$3:$K$3,FALSE))),0)</f>
        <v>11.062593135637941</v>
      </c>
      <c r="L43" s="17">
        <f ca="1">IFERROR(IF(VALUE(RIGHT($B$28,2))&gt;$A43,0,INDEX('T&amp;D Capacity'!$E$28:$K$47,MATCH($A43,'T&amp;D Capacity'!$B$28:$B$47,FALSE),MATCH(EDC_NAME,'T&amp;D Capacity'!$E$27:$K$27,FALSE))),0)</f>
        <v>11.062593135637941</v>
      </c>
      <c r="M43" s="17">
        <f ca="1">IFERROR(IF(VALUE(RIGHT($B$28,2))&gt;$A43,0,INDEX('T&amp;D Capacity'!$M$4:$S$23,MATCH($A43,'T&amp;D Capacity'!$B$4:$B$23,FALSE),MATCH(EDC_NAME,'T&amp;D Capacity'!$M$3:$S$3,FALSE))),0)</f>
        <v>71.793541608956687</v>
      </c>
      <c r="N43" s="17">
        <f ca="1">IFERROR(IF(VALUE(RIGHT($B$28,2))&gt;$A43,0,INDEX('T&amp;D Capacity'!$M$28:$S$47,MATCH($A43,'T&amp;D Capacity'!$B$28:$B$47,FALSE),MATCH(EDC_NAME,'T&amp;D Capacity'!$M$27:$S$27,FALSE))),0)</f>
        <v>10.410560904443814</v>
      </c>
      <c r="O43" s="18">
        <f>IFERROR(IF(VALUE(RIGHT($B$28,2))&gt;$A43,0,IFERROR(AVERAGEIF('NG Futures'!$E:$E,$B43,'NG Futures'!$I:$I),"Data Missing")),0)</f>
        <v>4.6357120000208072</v>
      </c>
      <c r="P43" s="324"/>
    </row>
    <row r="44" spans="1:43" s="50" customFormat="1" ht="15" customHeight="1" x14ac:dyDescent="0.2">
      <c r="A44" s="124">
        <f t="shared" ref="A44:B44" si="12">A43+1</f>
        <v>30</v>
      </c>
      <c r="B44" s="124">
        <f t="shared" si="12"/>
        <v>2039</v>
      </c>
      <c r="C44" s="122">
        <f ca="1">IFERROR(IF(VALUE(RIGHT($B$28,2))&gt;$A44,0,AVERAGEIFS(Elec_On_Peak, 'Avoided AC'!$D:$D, $B44, 'Avoided AC'!$E:$E, "Summer") +
        INDEX(AEPS!$S$8:$S$37, MATCH($A44, 'General Inputs'!$F$3:$F$32, 0)) +
        OFFSET(DRIPE!$I$10, MATCH('Output (non-LI)'!$B44, DRIPE!$I$11:$I$30, 0), MATCH('Output (non-LI)'!$B$28, DRIPE!$J$10:$N$10, 0), 1, 1)),"Data Missing")</f>
        <v>85.054189195315658</v>
      </c>
      <c r="D44" s="17">
        <f ca="1">IFERROR(IF(VALUE(RIGHT($B$28,2))&gt;$A44,0,AVERAGEIFS(Elec_Off_Peak, 'Avoided AC'!$D:$D, $B44, 'Avoided AC'!$E:$E, "Summer") +
        INDEX(AEPS!$S$8:$S$37, MATCH($A44, 'General Inputs'!$F$3:$F$32, 0)) +
        OFFSET(DRIPE!$I$10, MATCH('Output (non-LI)'!$B44, DRIPE!$I$11:$I$30, 0), MATCH('Output (non-LI)'!$B$28, DRIPE!$J$10:$N$10, 0), 1, 1)),"Data Missing")</f>
        <v>52.019477494894559</v>
      </c>
      <c r="E44" s="17">
        <f ca="1">IFERROR(IF(VALUE(RIGHT($B$28,2))&gt;$A44,0,AVERAGEIFS(Elec_On_Peak, 'Avoided AC'!$D:$D, $B44, 'Avoided AC'!$E:$E, "Winter") +
        INDEX(AEPS!$S$8:$S$37, MATCH($A44, 'General Inputs'!$F$3:$F$32, 0)) +
        OFFSET(DRIPE!$I$10, MATCH('Output (non-LI)'!$B44, DRIPE!$I$11:$I$30, 0), MATCH('Output (non-LI)'!$B$28, DRIPE!$J$10:$N$10, 0), 1, 1)),"Data Missing")</f>
        <v>103.2777271455256</v>
      </c>
      <c r="F44" s="17">
        <f ca="1">IFERROR(IF(VALUE(RIGHT($B$28,2))&gt;$A44,0,AVERAGEIFS(Elec_Off_Peak, 'Avoided AC'!$D:$D, $B44, 'Avoided AC'!$E:$E, "Winter") +
        INDEX(AEPS!$S$8:$S$37, MATCH($A44, 'General Inputs'!$F$3:$F$32, 0)) +
        OFFSET(DRIPE!$I$10, MATCH('Output (non-LI)'!$B44, DRIPE!$I$11:$I$30, 0), MATCH('Output (non-LI)'!$B$28, DRIPE!$J$10:$N$10, 0), 1, 1)),"Data Missing")</f>
        <v>84.68586932673395</v>
      </c>
      <c r="G44" s="17">
        <f ca="1">IFERROR(IF(VALUE(RIGHT($B$28,2))&gt;$A44,0,AVERAGEIFS(Elec_On_Peak, 'Avoided AC'!$D:$D, $B44, 'Avoided AC'!$E:$E, "Shoulder") +
        INDEX(AEPS!$S$8:$S$37, MATCH($A44, 'General Inputs'!$F$3:$F$32, 0)) +
        OFFSET(DRIPE!$I$10, MATCH('Output (non-LI)'!$B44, DRIPE!$I$11:$I$30, 0), MATCH('Output (non-LI)'!$B$28, DRIPE!$J$10:$N$10, 0), 1, 1)),"Data Missing")</f>
        <v>72.554484632116768</v>
      </c>
      <c r="H44" s="17">
        <f ca="1">IFERROR(IF(VALUE(RIGHT($B$28,2))&gt;$A44,0,AVERAGEIFS(Elec_Off_Peak, 'Avoided AC'!$D:$D, $B44, 'Avoided AC'!$E:$E, "Shoulder") +
        INDEX(AEPS!$S$8:$S$37, MATCH($A44, 'General Inputs'!$F$3:$F$32, 0)) +
        OFFSET(DRIPE!$I$10, MATCH('Output (non-LI)'!$B44, DRIPE!$I$11:$I$30, 0), MATCH('Output (non-LI)'!$B$28, DRIPE!$J$10:$N$10, 0), 1, 1)),"Data Missing")</f>
        <v>56.405260734977276</v>
      </c>
      <c r="I44" s="17">
        <f ca="1">(IF(VALUE(RIGHT($B$28,2))&gt;$A44,0,INDEX('Generation Capacity'!$E$27:$K$48,MATCH($A44,'Generation Capacity'!$B$27:$B$48,FALSE),MATCH(EDC_NAME,'Generation Capacity'!$E$26:$K$26,FALSE))+
        OFFSET(DRIPE!$B$35,MATCH('Output (non-LI)'!$B44,DRIPE!$B$11:$B$30,0),MATCH('Output (non-LI)'!$B$28,DRIPE!$C$10:$G$10,0),1,1)))</f>
        <v>32.569398785214304</v>
      </c>
      <c r="J44" s="17">
        <f ca="1">(IF(VALUE(RIGHT($B$28,2))&gt;$A44,0,INDEX('Generation Capacity'!$E$27:$K$48,MATCH($A44,'Generation Capacity'!$B$27:$B$48,FALSE),MATCH(EDC_NAME,'Generation Capacity'!$E$26:$K$26,FALSE))+
        OFFSET(DRIPE!$I$35,MATCH('Output (non-LI)'!$B44,DRIPE!$B$11:$B$30,0),MATCH('Output (non-LI)'!$B$28,DRIPE!$C$10:$G$10,0),1,1)))</f>
        <v>32.569398785214304</v>
      </c>
      <c r="K44" s="17">
        <f ca="1">IFERROR(IF(VALUE(RIGHT($B$28,2))&gt;$A44,0,INDEX('T&amp;D Capacity'!$E$4:$K$23,MATCH($A44,'T&amp;D Capacity'!$B$4:$B$23,FALSE),MATCH(EDC_NAME,'T&amp;D Capacity'!$E$3:$K$3,FALSE))),0)</f>
        <v>11.291759550184038</v>
      </c>
      <c r="L44" s="17">
        <f ca="1">IFERROR(IF(VALUE(RIGHT($B$28,2))&gt;$A44,0,INDEX('T&amp;D Capacity'!$E$28:$K$47,MATCH($A44,'T&amp;D Capacity'!$B$28:$B$47,FALSE),MATCH(EDC_NAME,'T&amp;D Capacity'!$E$27:$K$27,FALSE))),0)</f>
        <v>11.291759550184038</v>
      </c>
      <c r="M44" s="17">
        <f ca="1">IFERROR(IF(VALUE(RIGHT($B$28,2))&gt;$A44,0,INDEX('T&amp;D Capacity'!$M$4:$S$23,MATCH($A44,'T&amp;D Capacity'!$B$4:$B$23,FALSE),MATCH(EDC_NAME,'T&amp;D Capacity'!$M$3:$S$3,FALSE))),0)</f>
        <v>73.280775959561936</v>
      </c>
      <c r="N44" s="17">
        <f ca="1">IFERROR(IF(VALUE(RIGHT($B$28,2))&gt;$A44,0,INDEX('T&amp;D Capacity'!$M$28:$S$47,MATCH($A44,'T&amp;D Capacity'!$B$28:$B$47,FALSE),MATCH(EDC_NAME,'T&amp;D Capacity'!$M$27:$S$27,FALSE))),0)</f>
        <v>10.626220188540552</v>
      </c>
      <c r="O44" s="18">
        <f>IFERROR(IF(VALUE(RIGHT($B$28,2))&gt;$A44,0,IFERROR(AVERAGEIF('NG Futures'!$E:$E,$B44,'NG Futures'!$I:$I),"Data Missing")),0)</f>
        <v>4.5604826844447048</v>
      </c>
      <c r="P44" s="324"/>
    </row>
    <row r="45" spans="1:43" s="50" customFormat="1" ht="15.75" customHeight="1" x14ac:dyDescent="0.2">
      <c r="A45" s="124">
        <f t="shared" ref="A45:B45" si="13">A44+1</f>
        <v>31</v>
      </c>
      <c r="B45" s="124">
        <f t="shared" si="13"/>
        <v>2040</v>
      </c>
      <c r="C45" s="122">
        <f ca="1">IFERROR(IF(VALUE(RIGHT($B$28,2))&gt;$A45,0,AVERAGEIFS(Elec_On_Peak, 'Avoided AC'!$D:$D, $B45, 'Avoided AC'!$E:$E, "Summer") +
        INDEX(AEPS!$S$8:$S$37, MATCH($A45, 'General Inputs'!$F$3:$F$32, 0)) +
        OFFSET(DRIPE!$I$10, MATCH('Output (non-LI)'!$B45, DRIPE!$I$11:$I$30, 0), MATCH('Output (non-LI)'!$B$28, DRIPE!$J$10:$N$10, 0), 1, 1)),"Data Missing")</f>
        <v>85.479707682739601</v>
      </c>
      <c r="D45" s="17">
        <f ca="1">IFERROR(IF(VALUE(RIGHT($B$28,2))&gt;$A45,0,AVERAGEIFS(Elec_Off_Peak, 'Avoided AC'!$D:$D, $B45, 'Avoided AC'!$E:$E, "Summer") +
        INDEX(AEPS!$S$8:$S$37, MATCH($A45, 'General Inputs'!$F$3:$F$32, 0)) +
        OFFSET(DRIPE!$I$10, MATCH('Output (non-LI)'!$B45, DRIPE!$I$11:$I$30, 0), MATCH('Output (non-LI)'!$B$28, DRIPE!$J$10:$N$10, 0), 1, 1)),"Data Missing")</f>
        <v>52.366886357321818</v>
      </c>
      <c r="E45" s="17">
        <f ca="1">IFERROR(IF(VALUE(RIGHT($B$28,2))&gt;$A45,0,AVERAGEIFS(Elec_On_Peak, 'Avoided AC'!$D:$D, $B45, 'Avoided AC'!$E:$E, "Winter") +
        INDEX(AEPS!$S$8:$S$37, MATCH($A45, 'General Inputs'!$F$3:$F$32, 0)) +
        OFFSET(DRIPE!$I$10, MATCH('Output (non-LI)'!$B45, DRIPE!$I$11:$I$30, 0), MATCH('Output (non-LI)'!$B$28, DRIPE!$J$10:$N$10, 0), 1, 1)),"Data Missing")</f>
        <v>104.0628250875676</v>
      </c>
      <c r="F45" s="17">
        <f ca="1">IFERROR(IF(VALUE(RIGHT($B$28,2))&gt;$A45,0,AVERAGEIFS(Elec_Off_Peak, 'Avoided AC'!$D:$D, $B45, 'Avoided AC'!$E:$E, "Winter") +
        INDEX(AEPS!$S$8:$S$37, MATCH($A45, 'General Inputs'!$F$3:$F$32, 0)) +
        OFFSET(DRIPE!$I$10, MATCH('Output (non-LI)'!$B45, DRIPE!$I$11:$I$30, 0), MATCH('Output (non-LI)'!$B$28, DRIPE!$J$10:$N$10, 0), 1, 1)),"Data Missing")</f>
        <v>85.280908790909052</v>
      </c>
      <c r="G45" s="17">
        <f ca="1">IFERROR(IF(VALUE(RIGHT($B$28,2))&gt;$A45,0,AVERAGEIFS(Elec_On_Peak, 'Avoided AC'!$D:$D, $B45, 'Avoided AC'!$E:$E, "Shoulder") +
        INDEX(AEPS!$S$8:$S$37, MATCH($A45, 'General Inputs'!$F$3:$F$32, 0)) +
        OFFSET(DRIPE!$I$10, MATCH('Output (non-LI)'!$B45, DRIPE!$I$11:$I$30, 0), MATCH('Output (non-LI)'!$B$28, DRIPE!$J$10:$N$10, 0), 1, 1)),"Data Missing")</f>
        <v>73.018103504248913</v>
      </c>
      <c r="H45" s="17">
        <f ca="1">IFERROR(IF(VALUE(RIGHT($B$28,2))&gt;$A45,0,AVERAGEIFS(Elec_Off_Peak, 'Avoided AC'!$D:$D, $B45, 'Avoided AC'!$E:$E, "Shoulder") +
        INDEX(AEPS!$S$8:$S$37, MATCH($A45, 'General Inputs'!$F$3:$F$32, 0)) +
        OFFSET(DRIPE!$I$10, MATCH('Output (non-LI)'!$B45, DRIPE!$I$11:$I$30, 0), MATCH('Output (non-LI)'!$B$28, DRIPE!$J$10:$N$10, 0), 1, 1)),"Data Missing")</f>
        <v>56.778908085368613</v>
      </c>
      <c r="I45" s="17">
        <f ca="1">(IF(VALUE(RIGHT($B$28,2))&gt;$A45,0,INDEX('Generation Capacity'!$E$27:$K$48,MATCH($A45,'Generation Capacity'!$B$27:$B$48,FALSE),MATCH(EDC_NAME,'Generation Capacity'!$E$26:$K$26,FALSE))+
        OFFSET(DRIPE!$B$35,MATCH('Output (non-LI)'!$B45,DRIPE!$B$11:$B$30,0),MATCH('Output (non-LI)'!$B$28,DRIPE!$C$10:$G$10,0),1,1)))</f>
        <v>33.244088006088298</v>
      </c>
      <c r="J45" s="17">
        <f ca="1">(IF(VALUE(RIGHT($B$28,2))&gt;$A45,0,INDEX('Generation Capacity'!$E$27:$K$48,MATCH($A45,'Generation Capacity'!$B$27:$B$48,FALSE),MATCH(EDC_NAME,'Generation Capacity'!$E$26:$K$26,FALSE))+
        OFFSET(DRIPE!$I$35,MATCH('Output (non-LI)'!$B45,DRIPE!$B$11:$B$30,0),MATCH('Output (non-LI)'!$B$28,DRIPE!$C$10:$G$10,0),1,1)))</f>
        <v>33.244088006088298</v>
      </c>
      <c r="K45" s="17">
        <f ca="1">IFERROR(IF(VALUE(RIGHT($B$28,2))&gt;$A45,0,INDEX('T&amp;D Capacity'!$E$4:$K$23,MATCH($A45,'T&amp;D Capacity'!$B$4:$B$23,FALSE),MATCH(EDC_NAME,'T&amp;D Capacity'!$E$3:$K$3,FALSE))),0)</f>
        <v>11.525673246394749</v>
      </c>
      <c r="L45" s="17">
        <f ca="1">IFERROR(IF(VALUE(RIGHT($B$28,2))&gt;$A45,0,INDEX('T&amp;D Capacity'!$E$28:$K$47,MATCH($A45,'T&amp;D Capacity'!$B$28:$B$47,FALSE),MATCH(EDC_NAME,'T&amp;D Capacity'!$E$27:$K$27,FALSE))),0)</f>
        <v>11.525673246394749</v>
      </c>
      <c r="M45" s="17">
        <f ca="1">IFERROR(IF(VALUE(RIGHT($B$28,2))&gt;$A45,0,INDEX('T&amp;D Capacity'!$M$4:$S$23,MATCH($A45,'T&amp;D Capacity'!$B$4:$B$23,FALSE),MATCH(EDC_NAME,'T&amp;D Capacity'!$M$3:$S$3,FALSE))),0)</f>
        <v>74.798819014739365</v>
      </c>
      <c r="N45" s="17">
        <f ca="1">IFERROR(IF(VALUE(RIGHT($B$28,2))&gt;$A45,0,INDEX('T&amp;D Capacity'!$M$28:$S$47,MATCH($A45,'T&amp;D Capacity'!$B$28:$B$47,FALSE),MATCH(EDC_NAME,'T&amp;D Capacity'!$M$27:$S$27,FALSE))),0)</f>
        <v>10.846346948236732</v>
      </c>
      <c r="O45" s="18">
        <f>IFERROR(IF(VALUE(RIGHT($B$28,2))&gt;$A45,0,IFERROR(AVERAGEIF('NG Futures'!$E:$E,$B45,'NG Futures'!$I:$I),"Data Missing")),0)</f>
        <v>4.5925300938202467</v>
      </c>
      <c r="P45" s="324"/>
    </row>
    <row r="46" spans="1:43" s="50" customFormat="1" ht="15" customHeight="1" x14ac:dyDescent="0.2">
      <c r="A46" s="124">
        <f t="shared" ref="A46:B46" si="14">A45+1</f>
        <v>32</v>
      </c>
      <c r="B46" s="124">
        <f t="shared" si="14"/>
        <v>2041</v>
      </c>
      <c r="C46" s="122">
        <f ca="1">IFERROR(IF(VALUE(RIGHT($B$28,2))&gt;$A46,0,AVERAGEIFS(Elec_On_Peak, 'Avoided AC'!$D:$D, $B46, 'Avoided AC'!$E:$E, "Summer") +
        INDEX(AEPS!$S$8:$S$37, MATCH($A46, 'General Inputs'!$F$3:$F$32, 0)) +
        OFFSET(DRIPE!$I$10, MATCH('Output (non-LI)'!$B46, DRIPE!$I$11:$I$30, 0), MATCH('Output (non-LI)'!$B$28, DRIPE!$J$10:$N$10, 0), 1, 1)),"Data Missing")</f>
        <v>86.797941778981851</v>
      </c>
      <c r="D46" s="17">
        <f ca="1">IFERROR(IF(VALUE(RIGHT($B$28,2))&gt;$A46,0,AVERAGEIFS(Elec_Off_Peak, 'Avoided AC'!$D:$D, $B46, 'Avoided AC'!$E:$E, "Summer") +
        INDEX(AEPS!$S$8:$S$37, MATCH($A46, 'General Inputs'!$F$3:$F$32, 0)) +
        OFFSET(DRIPE!$I$10, MATCH('Output (non-LI)'!$B46, DRIPE!$I$11:$I$30, 0), MATCH('Output (non-LI)'!$B$28, DRIPE!$J$10:$N$10, 0), 1, 1)),"Data Missing")</f>
        <v>53.330166606061503</v>
      </c>
      <c r="E46" s="17">
        <f ca="1">IFERROR(IF(VALUE(RIGHT($B$28,2))&gt;$A46,0,AVERAGEIFS(Elec_On_Peak, 'Avoided AC'!$D:$D, $B46, 'Avoided AC'!$E:$E, "Winter") +
        INDEX(AEPS!$S$8:$S$37, MATCH($A46, 'General Inputs'!$F$3:$F$32, 0)) +
        OFFSET(DRIPE!$I$10, MATCH('Output (non-LI)'!$B46, DRIPE!$I$11:$I$30, 0), MATCH('Output (non-LI)'!$B$28, DRIPE!$J$10:$N$10, 0), 1, 1)),"Data Missing")</f>
        <v>107.01509738211125</v>
      </c>
      <c r="F46" s="17">
        <f ca="1">IFERROR(IF(VALUE(RIGHT($B$28,2))&gt;$A46,0,AVERAGEIFS(Elec_Off_Peak, 'Avoided AC'!$D:$D, $B46, 'Avoided AC'!$E:$E, "Winter") +
        INDEX(AEPS!$S$8:$S$37, MATCH($A46, 'General Inputs'!$F$3:$F$32, 0)) +
        OFFSET(DRIPE!$I$10, MATCH('Output (non-LI)'!$B46, DRIPE!$I$11:$I$30, 0), MATCH('Output (non-LI)'!$B$28, DRIPE!$J$10:$N$10, 0), 1, 1)),"Data Missing")</f>
        <v>87.369497666511606</v>
      </c>
      <c r="G46" s="17">
        <f ca="1">IFERROR(IF(VALUE(RIGHT($B$28,2))&gt;$A46,0,AVERAGEIFS(Elec_On_Peak, 'Avoided AC'!$D:$D, $B46, 'Avoided AC'!$E:$E, "Shoulder") +
        INDEX(AEPS!$S$8:$S$37, MATCH($A46, 'General Inputs'!$F$3:$F$32, 0)) +
        OFFSET(DRIPE!$I$10, MATCH('Output (non-LI)'!$B46, DRIPE!$I$11:$I$30, 0), MATCH('Output (non-LI)'!$B$28, DRIPE!$J$10:$N$10, 0), 1, 1)),"Data Missing")</f>
        <v>74.509477314631226</v>
      </c>
      <c r="H46" s="17">
        <f ca="1">IFERROR(IF(VALUE(RIGHT($B$28,2))&gt;$A46,0,AVERAGEIFS(Elec_Off_Peak, 'Avoided AC'!$D:$D, $B46, 'Avoided AC'!$E:$E, "Shoulder") +
        INDEX(AEPS!$S$8:$S$37, MATCH($A46, 'General Inputs'!$F$3:$F$32, 0)) +
        OFFSET(DRIPE!$I$10, MATCH('Output (non-LI)'!$B46, DRIPE!$I$11:$I$30, 0), MATCH('Output (non-LI)'!$B$28, DRIPE!$J$10:$N$10, 0), 1, 1)),"Data Missing")</f>
        <v>57.861423988560503</v>
      </c>
      <c r="I46" s="17">
        <f ca="1">(IF(VALUE(RIGHT($B$28,2))&gt;$A46,0,INDEX('Generation Capacity'!$E$27:$K$48,MATCH($A46,'Generation Capacity'!$B$27:$B$48,FALSE),MATCH(EDC_NAME,'Generation Capacity'!$E$26:$K$26,FALSE))+
        OFFSET(DRIPE!$B$35,MATCH('Output (non-LI)'!$B46,DRIPE!$B$11:$B$30,0),MATCH('Output (non-LI)'!$B$28,DRIPE!$C$10:$G$10,0),1,1)))</f>
        <v>33.932753706778989</v>
      </c>
      <c r="J46" s="17">
        <f ca="1">(IF(VALUE(RIGHT($B$28,2))&gt;$A46,0,INDEX('Generation Capacity'!$E$27:$K$48,MATCH($A46,'Generation Capacity'!$B$27:$B$48,FALSE),MATCH(EDC_NAME,'Generation Capacity'!$E$26:$K$26,FALSE))+
        OFFSET(DRIPE!$I$35,MATCH('Output (non-LI)'!$B46,DRIPE!$B$11:$B$30,0),MATCH('Output (non-LI)'!$B$28,DRIPE!$C$10:$G$10,0),1,1)))</f>
        <v>33.932753706778989</v>
      </c>
      <c r="K46" s="17">
        <f ca="1">IFERROR(IF(VALUE(RIGHT($B$28,2))&gt;$A46,0,INDEX('T&amp;D Capacity'!$E$4:$K$23,MATCH($A46,'T&amp;D Capacity'!$B$4:$B$23,FALSE),MATCH(EDC_NAME,'T&amp;D Capacity'!$E$3:$K$3,FALSE))),0)</f>
        <v>11.76443256626861</v>
      </c>
      <c r="L46" s="17">
        <f ca="1">IFERROR(IF(VALUE(RIGHT($B$28,2))&gt;$A46,0,INDEX('T&amp;D Capacity'!$E$28:$K$47,MATCH($A46,'T&amp;D Capacity'!$B$28:$B$47,FALSE),MATCH(EDC_NAME,'T&amp;D Capacity'!$E$27:$K$27,FALSE))),0)</f>
        <v>11.76443256626861</v>
      </c>
      <c r="M46" s="17">
        <f ca="1">IFERROR(IF(VALUE(RIGHT($B$28,2))&gt;$A46,0,INDEX('T&amp;D Capacity'!$M$4:$S$23,MATCH($A46,'T&amp;D Capacity'!$B$4:$B$23,FALSE),MATCH(EDC_NAME,'T&amp;D Capacity'!$M$3:$S$3,FALSE))),0)</f>
        <v>76.34830899016562</v>
      </c>
      <c r="N46" s="17">
        <f ca="1">IFERROR(IF(VALUE(RIGHT($B$28,2))&gt;$A46,0,INDEX('T&amp;D Capacity'!$M$28:$S$47,MATCH($A46,'T&amp;D Capacity'!$B$28:$B$47,FALSE),MATCH(EDC_NAME,'T&amp;D Capacity'!$M$27:$S$27,FALSE))),0)</f>
        <v>11.071033729226899</v>
      </c>
      <c r="O46" s="18">
        <f>IFERROR(IF(VALUE(RIGHT($B$28,2))&gt;$A46,0,IFERROR(AVERAGEIF('NG Futures'!$E:$E,$B46,'NG Futures'!$I:$I),"Data Missing")),0)</f>
        <v>4.7381632505640319</v>
      </c>
      <c r="P46" s="324"/>
    </row>
    <row r="47" spans="1:43" s="50" customFormat="1" ht="15" customHeight="1" x14ac:dyDescent="0.2">
      <c r="A47" s="124">
        <f t="shared" ref="A47:B47" si="15">A46+1</f>
        <v>33</v>
      </c>
      <c r="B47" s="124">
        <f t="shared" si="15"/>
        <v>2042</v>
      </c>
      <c r="C47" s="122">
        <f ca="1">IFERROR(IF(VALUE(RIGHT($B$28,2))&gt;$A47,0,AVERAGEIFS(Elec_On_Peak, 'Avoided AC'!$D:$D, $B47, 'Avoided AC'!$E:$E, "Summer") +
        INDEX(AEPS!$S$8:$S$37, MATCH($A47, 'General Inputs'!$F$3:$F$32, 0)) +
        OFFSET(DRIPE!$I$10, MATCH('Output (non-LI)'!$B47, DRIPE!$I$11:$I$30, 0), MATCH('Output (non-LI)'!$B$28, DRIPE!$J$10:$N$10, 0), 1, 1)),"Data Missing")</f>
        <v>88.253494372988698</v>
      </c>
      <c r="D47" s="17">
        <f ca="1">IFERROR(IF(VALUE(RIGHT($B$28,2))&gt;$A47,0,AVERAGEIFS(Elec_Off_Peak, 'Avoided AC'!$D:$D, $B47, 'Avoided AC'!$E:$E, "Summer") +
        INDEX(AEPS!$S$8:$S$37, MATCH($A47, 'General Inputs'!$F$3:$F$32, 0)) +
        OFFSET(DRIPE!$I$10, MATCH('Output (non-LI)'!$B47, DRIPE!$I$11:$I$30, 0), MATCH('Output (non-LI)'!$B$28, DRIPE!$J$10:$N$10, 0), 1, 1)),"Data Missing")</f>
        <v>54.389122721346112</v>
      </c>
      <c r="E47" s="17">
        <f ca="1">IFERROR(IF(VALUE(RIGHT($B$28,2))&gt;$A47,0,AVERAGEIFS(Elec_On_Peak, 'Avoided AC'!$D:$D, $B47, 'Avoided AC'!$E:$E, "Winter") +
        INDEX(AEPS!$S$8:$S$37, MATCH($A47, 'General Inputs'!$F$3:$F$32, 0)) +
        OFFSET(DRIPE!$I$10, MATCH('Output (non-LI)'!$B47, DRIPE!$I$11:$I$30, 0), MATCH('Output (non-LI)'!$B$28, DRIPE!$J$10:$N$10, 0), 1, 1)),"Data Missing")</f>
        <v>110.29639098471289</v>
      </c>
      <c r="F47" s="17">
        <f ca="1">IFERROR(IF(VALUE(RIGHT($B$28,2))&gt;$A47,0,AVERAGEIFS(Elec_Off_Peak, 'Avoided AC'!$D:$D, $B47, 'Avoided AC'!$E:$E, "Winter") +
        INDEX(AEPS!$S$8:$S$37, MATCH($A47, 'General Inputs'!$F$3:$F$32, 0)) +
        OFFSET(DRIPE!$I$10, MATCH('Output (non-LI)'!$B47, DRIPE!$I$11:$I$30, 0), MATCH('Output (non-LI)'!$B$28, DRIPE!$J$10:$N$10, 0), 1, 1)),"Data Missing")</f>
        <v>89.685781859881985</v>
      </c>
      <c r="G47" s="17">
        <f ca="1">IFERROR(IF(VALUE(RIGHT($B$28,2))&gt;$A47,0,AVERAGEIFS(Elec_On_Peak, 'Avoided AC'!$D:$D, $B47, 'Avoided AC'!$E:$E, "Shoulder") +
        INDEX(AEPS!$S$8:$S$37, MATCH($A47, 'General Inputs'!$F$3:$F$32, 0)) +
        OFFSET(DRIPE!$I$10, MATCH('Output (non-LI)'!$B47, DRIPE!$I$11:$I$30, 0), MATCH('Output (non-LI)'!$B$28, DRIPE!$J$10:$N$10, 0), 1, 1)),"Data Missing")</f>
        <v>76.158482103727863</v>
      </c>
      <c r="H47" s="17">
        <f ca="1">IFERROR(IF(VALUE(RIGHT($B$28,2))&gt;$A47,0,AVERAGEIFS(Elec_Off_Peak, 'Avoided AC'!$D:$D, $B47, 'Avoided AC'!$E:$E, "Shoulder") +
        INDEX(AEPS!$S$8:$S$37, MATCH($A47, 'General Inputs'!$F$3:$F$32, 0)) +
        OFFSET(DRIPE!$I$10, MATCH('Output (non-LI)'!$B47, DRIPE!$I$11:$I$30, 0), MATCH('Output (non-LI)'!$B$28, DRIPE!$J$10:$N$10, 0), 1, 1)),"Data Missing")</f>
        <v>59.053604299121794</v>
      </c>
      <c r="I47" s="17">
        <f ca="1">(IF(VALUE(RIGHT($B$28,2))&gt;$A47,0,INDEX('Generation Capacity'!$E$27:$K$48,MATCH($A47,'Generation Capacity'!$B$27:$B$48,FALSE),MATCH(EDC_NAME,'Generation Capacity'!$E$26:$K$26,FALSE))+
        OFFSET(DRIPE!$B$35,MATCH('Output (non-LI)'!$B47,DRIPE!$B$11:$B$30,0),MATCH('Output (non-LI)'!$B$28,DRIPE!$C$10:$G$10,0),1,1)))</f>
        <v>34.635685416127252</v>
      </c>
      <c r="J47" s="17">
        <f ca="1">(IF(VALUE(RIGHT($B$28,2))&gt;$A47,0,INDEX('Generation Capacity'!$E$27:$K$48,MATCH($A47,'Generation Capacity'!$B$27:$B$48,FALSE),MATCH(EDC_NAME,'Generation Capacity'!$E$26:$K$26,FALSE))+
        OFFSET(DRIPE!$I$35,MATCH('Output (non-LI)'!$B47,DRIPE!$B$11:$B$30,0),MATCH('Output (non-LI)'!$B$28,DRIPE!$C$10:$G$10,0),1,1)))</f>
        <v>34.635685416127252</v>
      </c>
      <c r="K47" s="17">
        <f ca="1">IFERROR(IF(VALUE(RIGHT($B$28,2))&gt;$A47,0,INDEX('T&amp;D Capacity'!$E$4:$K$23,MATCH($A47,'T&amp;D Capacity'!$B$4:$B$23,FALSE),MATCH(EDC_NAME,'T&amp;D Capacity'!$E$3:$K$3,FALSE))),0)</f>
        <v>12.008137889001302</v>
      </c>
      <c r="L47" s="17">
        <f ca="1">IFERROR(IF(VALUE(RIGHT($B$28,2))&gt;$A47,0,INDEX('T&amp;D Capacity'!$E$28:$K$47,MATCH($A47,'T&amp;D Capacity'!$B$28:$B$47,FALSE),MATCH(EDC_NAME,'T&amp;D Capacity'!$E$27:$K$27,FALSE))),0)</f>
        <v>12.008137889001302</v>
      </c>
      <c r="M47" s="17">
        <f ca="1">IFERROR(IF(VALUE(RIGHT($B$28,2))&gt;$A47,0,INDEX('T&amp;D Capacity'!$M$4:$S$23,MATCH($A47,'T&amp;D Capacity'!$B$4:$B$23,FALSE),MATCH(EDC_NAME,'T&amp;D Capacity'!$M$3:$S$3,FALSE))),0)</f>
        <v>77.929897322431884</v>
      </c>
      <c r="N47" s="17">
        <f ca="1">IFERROR(IF(VALUE(RIGHT($B$28,2))&gt;$A47,0,INDEX('T&amp;D Capacity'!$M$28:$S$47,MATCH($A47,'T&amp;D Capacity'!$B$28:$B$47,FALSE),MATCH(EDC_NAME,'T&amp;D Capacity'!$M$27:$S$27,FALSE))),0)</f>
        <v>11.300374994329797</v>
      </c>
      <c r="O47" s="18">
        <f>IFERROR(IF(VALUE(RIGHT($B$28,2))&gt;$A47,0,IFERROR(AVERAGEIF('NG Futures'!$E:$E,$B47,'NG Futures'!$I:$I),"Data Missing")),0)</f>
        <v>4.9008818618881964</v>
      </c>
      <c r="P47" s="324"/>
    </row>
    <row r="48" spans="1:43" s="50" customFormat="1" ht="15" customHeight="1" x14ac:dyDescent="0.2">
      <c r="A48" s="124">
        <f t="shared" ref="A48:B48" si="16">A47+1</f>
        <v>34</v>
      </c>
      <c r="B48" s="124">
        <f t="shared" si="16"/>
        <v>2043</v>
      </c>
      <c r="C48" s="122">
        <f ca="1">IFERROR(IF(VALUE(RIGHT($B$28,2))&gt;$A48,0,AVERAGEIFS(Elec_On_Peak, 'Avoided AC'!$D:$D, $B48, 'Avoided AC'!$E:$E, "Summer") +
        INDEX(AEPS!$S$8:$S$37, MATCH($A48, 'General Inputs'!$F$3:$F$32, 0)) +
        OFFSET(DRIPE!$I$10, MATCH('Output (non-LI)'!$B48, DRIPE!$I$11:$I$30, 0), MATCH('Output (non-LI)'!$B$28, DRIPE!$J$10:$N$10, 0), 1, 1)),"Data Missing")</f>
        <v>89.750447311801722</v>
      </c>
      <c r="D48" s="17">
        <f ca="1">IFERROR(IF(VALUE(RIGHT($B$28,2))&gt;$A48,0,AVERAGEIFS(Elec_Off_Peak, 'Avoided AC'!$D:$D, $B48, 'Avoided AC'!$E:$E, "Summer") +
        INDEX(AEPS!$S$8:$S$37, MATCH($A48, 'General Inputs'!$F$3:$F$32, 0)) +
        OFFSET(DRIPE!$I$10, MATCH('Output (non-LI)'!$B48, DRIPE!$I$11:$I$30, 0), MATCH('Output (non-LI)'!$B$28, DRIPE!$J$10:$N$10, 0), 1, 1)),"Data Missing")</f>
        <v>55.47772119275929</v>
      </c>
      <c r="E48" s="17">
        <f ca="1">IFERROR(IF(VALUE(RIGHT($B$28,2))&gt;$A48,0,AVERAGEIFS(Elec_On_Peak, 'Avoided AC'!$D:$D, $B48, 'Avoided AC'!$E:$E, "Winter") +
        INDEX(AEPS!$S$8:$S$37, MATCH($A48, 'General Inputs'!$F$3:$F$32, 0)) +
        OFFSET(DRIPE!$I$10, MATCH('Output (non-LI)'!$B48, DRIPE!$I$11:$I$30, 0), MATCH('Output (non-LI)'!$B$28, DRIPE!$J$10:$N$10, 0), 1, 1)),"Data Missing")</f>
        <v>113.6732131033452</v>
      </c>
      <c r="F48" s="17">
        <f ca="1">IFERROR(IF(VALUE(RIGHT($B$28,2))&gt;$A48,0,AVERAGEIFS(Elec_Off_Peak, 'Avoided AC'!$D:$D, $B48, 'Avoided AC'!$E:$E, "Winter") +
        INDEX(AEPS!$S$8:$S$37, MATCH($A48, 'General Inputs'!$F$3:$F$32, 0)) +
        OFFSET(DRIPE!$I$10, MATCH('Output (non-LI)'!$B48, DRIPE!$I$11:$I$30, 0), MATCH('Output (non-LI)'!$B$28, DRIPE!$J$10:$N$10, 0), 1, 1)),"Data Missing")</f>
        <v>92.068984709346594</v>
      </c>
      <c r="G48" s="17">
        <f ca="1">IFERROR(IF(VALUE(RIGHT($B$28,2))&gt;$A48,0,AVERAGEIFS(Elec_On_Peak, 'Avoided AC'!$D:$D, $B48, 'Avoided AC'!$E:$E, "Shoulder") +
        INDEX(AEPS!$S$8:$S$37, MATCH($A48, 'General Inputs'!$F$3:$F$32, 0)) +
        OFFSET(DRIPE!$I$10, MATCH('Output (non-LI)'!$B48, DRIPE!$I$11:$I$30, 0), MATCH('Output (non-LI)'!$B$28, DRIPE!$J$10:$N$10, 0), 1, 1)),"Data Missing")</f>
        <v>77.854622560160081</v>
      </c>
      <c r="H48" s="17">
        <f ca="1">IFERROR(IF(VALUE(RIGHT($B$28,2))&gt;$A48,0,AVERAGEIFS(Elec_Off_Peak, 'Avoided AC'!$D:$D, $B48, 'Avoided AC'!$E:$E, "Shoulder") +
        INDEX(AEPS!$S$8:$S$37, MATCH($A48, 'General Inputs'!$F$3:$F$32, 0)) +
        OFFSET(DRIPE!$I$10, MATCH('Output (non-LI)'!$B48, DRIPE!$I$11:$I$30, 0), MATCH('Output (non-LI)'!$B$28, DRIPE!$J$10:$N$10, 0), 1, 1)),"Data Missing")</f>
        <v>60.279376694726778</v>
      </c>
      <c r="I48" s="17">
        <f ca="1">(IF(VALUE(RIGHT($B$28,2))&gt;$A48,0,INDEX('Generation Capacity'!$E$27:$K$48,MATCH($A48,'Generation Capacity'!$B$27:$B$48,FALSE),MATCH(EDC_NAME,'Generation Capacity'!$E$26:$K$26,FALSE))+
        OFFSET(DRIPE!$B$35,MATCH('Output (non-LI)'!$B48,DRIPE!$B$11:$B$30,0),MATCH('Output (non-LI)'!$B$28,DRIPE!$C$10:$G$10,0),1,1)))</f>
        <v>35.353178660689451</v>
      </c>
      <c r="J48" s="17">
        <f ca="1">(IF(VALUE(RIGHT($B$28,2))&gt;$A48,0,INDEX('Generation Capacity'!$E$27:$K$48,MATCH($A48,'Generation Capacity'!$B$27:$B$48,FALSE),MATCH(EDC_NAME,'Generation Capacity'!$E$26:$K$26,FALSE))+
        OFFSET(DRIPE!$I$35,MATCH('Output (non-LI)'!$B48,DRIPE!$B$11:$B$30,0),MATCH('Output (non-LI)'!$B$28,DRIPE!$C$10:$G$10,0),1,1)))</f>
        <v>35.353178660689451</v>
      </c>
      <c r="K48" s="17">
        <f ca="1">IFERROR(IF(VALUE(RIGHT($B$28,2))&gt;$A48,0,INDEX('T&amp;D Capacity'!$E$4:$K$23,MATCH($A48,'T&amp;D Capacity'!$B$4:$B$23,FALSE),MATCH(EDC_NAME,'T&amp;D Capacity'!$E$3:$K$3,FALSE))),0)</f>
        <v>12.256891673187081</v>
      </c>
      <c r="L48" s="17">
        <f ca="1">IFERROR(IF(VALUE(RIGHT($B$28,2))&gt;$A48,0,INDEX('T&amp;D Capacity'!$E$28:$K$47,MATCH($A48,'T&amp;D Capacity'!$B$28:$B$47,FALSE),MATCH(EDC_NAME,'T&amp;D Capacity'!$E$27:$K$27,FALSE))),0)</f>
        <v>12.256891673187081</v>
      </c>
      <c r="M48" s="17">
        <f ca="1">IFERROR(IF(VALUE(RIGHT($B$28,2))&gt;$A48,0,INDEX('T&amp;D Capacity'!$M$4:$S$23,MATCH($A48,'T&amp;D Capacity'!$B$4:$B$23,FALSE),MATCH(EDC_NAME,'T&amp;D Capacity'!$M$3:$S$3,FALSE))),0)</f>
        <v>79.544248942920845</v>
      </c>
      <c r="N48" s="17">
        <f ca="1">IFERROR(IF(VALUE(RIGHT($B$28,2))&gt;$A48,0,INDEX('T&amp;D Capacity'!$M$28:$S$47,MATCH($A48,'T&amp;D Capacity'!$B$28:$B$47,FALSE),MATCH(EDC_NAME,'T&amp;D Capacity'!$M$27:$S$27,FALSE))),0)</f>
        <v>11.534467163202425</v>
      </c>
      <c r="O48" s="18">
        <f>IFERROR(IF(VALUE(RIGHT($B$28,2))&gt;$A48,0,IFERROR(AVERAGEIF('NG Futures'!$E:$E,$B48,'NG Futures'!$I:$I),"Data Missing")),0)</f>
        <v>5.0684246299869011</v>
      </c>
      <c r="P48" s="324"/>
    </row>
    <row r="49" spans="1:16" s="50" customFormat="1" ht="15.75" customHeight="1" x14ac:dyDescent="0.2">
      <c r="A49" s="124">
        <f t="shared" ref="A49:B49" si="17">A48+1</f>
        <v>35</v>
      </c>
      <c r="B49" s="124">
        <f t="shared" si="17"/>
        <v>2044</v>
      </c>
      <c r="C49" s="122">
        <f ca="1">IFERROR(IF(VALUE(RIGHT($B$28,2))&gt;$A49,0,AVERAGEIFS(Elec_On_Peak, 'Avoided AC'!$D:$D, $B49, 'Avoided AC'!$E:$E, "Summer") +
        INDEX(AEPS!$S$8:$S$37, MATCH($A49, 'General Inputs'!$F$3:$F$32, 0)) +
        OFFSET(DRIPE!$I$10, MATCH('Output (non-LI)'!$B49, DRIPE!$I$11:$I$30, 0), MATCH('Output (non-LI)'!$B$28, DRIPE!$J$10:$N$10, 0), 1, 1)),"Data Missing")</f>
        <v>90.771671891321404</v>
      </c>
      <c r="D49" s="17">
        <f ca="1">IFERROR(IF(VALUE(RIGHT($B$28,2))&gt;$A49,0,AVERAGEIFS(Elec_Off_Peak, 'Avoided AC'!$D:$D, $B49, 'Avoided AC'!$E:$E, "Summer") +
        INDEX(AEPS!$S$8:$S$37, MATCH($A49, 'General Inputs'!$F$3:$F$32, 0)) +
        OFFSET(DRIPE!$I$10, MATCH('Output (non-LI)'!$B49, DRIPE!$I$11:$I$30, 0), MATCH('Output (non-LI)'!$B$28, DRIPE!$J$10:$N$10, 0), 1, 1)),"Data Missing")</f>
        <v>56.239855032725217</v>
      </c>
      <c r="E49" s="17">
        <f ca="1">IFERROR(IF(VALUE(RIGHT($B$28,2))&gt;$A49,0,AVERAGEIFS(Elec_On_Peak, 'Avoided AC'!$D:$D, $B49, 'Avoided AC'!$E:$E, "Winter") +
        INDEX(AEPS!$S$8:$S$37, MATCH($A49, 'General Inputs'!$F$3:$F$32, 0)) +
        OFFSET(DRIPE!$I$10, MATCH('Output (non-LI)'!$B49, DRIPE!$I$11:$I$30, 0), MATCH('Output (non-LI)'!$B$28, DRIPE!$J$10:$N$10, 0), 1, 1)),"Data Missing")</f>
        <v>115.88716785957854</v>
      </c>
      <c r="F49" s="17">
        <f ca="1">IFERROR(IF(VALUE(RIGHT($B$28,2))&gt;$A49,0,AVERAGEIFS(Elec_Off_Peak, 'Avoided AC'!$D:$D, $B49, 'Avoided AC'!$E:$E, "Winter") +
        INDEX(AEPS!$S$8:$S$37, MATCH($A49, 'General Inputs'!$F$3:$F$32, 0)) +
        OFFSET(DRIPE!$I$10, MATCH('Output (non-LI)'!$B49, DRIPE!$I$11:$I$30, 0), MATCH('Output (non-LI)'!$B$28, DRIPE!$J$10:$N$10, 0), 1, 1)),"Data Missing")</f>
        <v>93.65251278524336</v>
      </c>
      <c r="G49" s="17">
        <f ca="1">IFERROR(IF(VALUE(RIGHT($B$28,2))&gt;$A49,0,AVERAGEIFS(Elec_On_Peak, 'Avoided AC'!$D:$D, $B49, 'Avoided AC'!$E:$E, "Shoulder") +
        INDEX(AEPS!$S$8:$S$37, MATCH($A49, 'General Inputs'!$F$3:$F$32, 0)) +
        OFFSET(DRIPE!$I$10, MATCH('Output (non-LI)'!$B49, DRIPE!$I$11:$I$30, 0), MATCH('Output (non-LI)'!$B$28, DRIPE!$J$10:$N$10, 0), 1, 1)),"Data Missing")</f>
        <v>79.002226658871592</v>
      </c>
      <c r="H49" s="17">
        <f ca="1">IFERROR(IF(VALUE(RIGHT($B$28,2))&gt;$A49,0,AVERAGEIFS(Elec_Off_Peak, 'Avoided AC'!$D:$D, $B49, 'Avoided AC'!$E:$E, "Shoulder") +
        INDEX(AEPS!$S$8:$S$37, MATCH($A49, 'General Inputs'!$F$3:$F$32, 0)) +
        OFFSET(DRIPE!$I$10, MATCH('Output (non-LI)'!$B49, DRIPE!$I$11:$I$30, 0), MATCH('Output (non-LI)'!$B$28, DRIPE!$J$10:$N$10, 0), 1, 1)),"Data Missing")</f>
        <v>61.128543973294818</v>
      </c>
      <c r="I49" s="17">
        <f ca="1">(IF(VALUE(RIGHT($B$28,2))&gt;$A49,0,INDEX('Generation Capacity'!$E$27:$K$48,MATCH($A49,'Generation Capacity'!$B$27:$B$48,FALSE),MATCH(EDC_NAME,'Generation Capacity'!$E$26:$K$26,FALSE))+
        OFFSET(DRIPE!$B$35,MATCH('Output (non-LI)'!$B49,DRIPE!$B$11:$B$30,0),MATCH('Output (non-LI)'!$B$28,DRIPE!$C$10:$G$10,0),1,1)))</f>
        <v>36.085535088982752</v>
      </c>
      <c r="J49" s="17">
        <f ca="1">(IF(VALUE(RIGHT($B$28,2))&gt;$A49,0,INDEX('Generation Capacity'!$E$27:$K$48,MATCH($A49,'Generation Capacity'!$B$27:$B$48,FALSE),MATCH(EDC_NAME,'Generation Capacity'!$E$26:$K$26,FALSE))+
        OFFSET(DRIPE!$I$35,MATCH('Output (non-LI)'!$B49,DRIPE!$B$11:$B$30,0),MATCH('Output (non-LI)'!$B$28,DRIPE!$C$10:$G$10,0),1,1)))</f>
        <v>36.085535088982752</v>
      </c>
      <c r="K49" s="17">
        <f ca="1">IFERROR(IF(VALUE(RIGHT($B$28,2))&gt;$A49,0,INDEX('T&amp;D Capacity'!$E$4:$K$23,MATCH($A49,'T&amp;D Capacity'!$B$4:$B$23,FALSE),MATCH(EDC_NAME,'T&amp;D Capacity'!$E$3:$K$3,FALSE))),0)</f>
        <v>12.510798499894417</v>
      </c>
      <c r="L49" s="17">
        <f ca="1">IFERROR(IF(VALUE(RIGHT($B$28,2))&gt;$A49,0,INDEX('T&amp;D Capacity'!$E$28:$K$47,MATCH($A49,'T&amp;D Capacity'!$B$28:$B$47,FALSE),MATCH(EDC_NAME,'T&amp;D Capacity'!$E$27:$K$27,FALSE))),0)</f>
        <v>12.510798499894417</v>
      </c>
      <c r="M49" s="17">
        <f ca="1">IFERROR(IF(VALUE(RIGHT($B$28,2))&gt;$A49,0,INDEX('T&amp;D Capacity'!$M$4:$S$23,MATCH($A49,'T&amp;D Capacity'!$B$4:$B$23,FALSE),MATCH(EDC_NAME,'T&amp;D Capacity'!$M$3:$S$3,FALSE))),0)</f>
        <v>81.192042557357169</v>
      </c>
      <c r="N49" s="17">
        <f ca="1">IFERROR(IF(VALUE(RIGHT($B$28,2))&gt;$A49,0,INDEX('T&amp;D Capacity'!$M$28:$S$47,MATCH($A49,'T&amp;D Capacity'!$B$28:$B$47,FALSE),MATCH(EDC_NAME,'T&amp;D Capacity'!$M$27:$S$27,FALSE))),0)</f>
        <v>11.773408652876794</v>
      </c>
      <c r="O49" s="18">
        <f>IFERROR(IF(VALUE(RIGHT($B$28,2))&gt;$A49,0,IFERROR(AVERAGEIF('NG Futures'!$E:$E,$B49,'NG Futures'!$I:$I),"Data Missing")),0)</f>
        <v>5.1747263437160846</v>
      </c>
      <c r="P49" s="324"/>
    </row>
    <row r="50" spans="1:16" s="50" customFormat="1" ht="15" customHeight="1" x14ac:dyDescent="0.2">
      <c r="A50" s="124">
        <f t="shared" ref="A50:B50" si="18">A49+1</f>
        <v>36</v>
      </c>
      <c r="B50" s="124">
        <f t="shared" si="18"/>
        <v>2045</v>
      </c>
      <c r="C50" s="122">
        <f ca="1">IFERROR(IF(VALUE(RIGHT($B$28,2))&gt;$A50,0,AVERAGEIFS(Elec_On_Peak, 'Avoided AC'!$D:$D, $B50, 'Avoided AC'!$E:$E, "Summer") +
        INDEX(AEPS!$S$8:$S$37, MATCH($A50, 'General Inputs'!$F$3:$F$32, 0)) +
        OFFSET(DRIPE!$I$10, MATCH('Output (non-LI)'!$B50, DRIPE!$I$11:$I$30, 0), MATCH('Output (non-LI)'!$B$28, DRIPE!$J$10:$N$10, 0), 1, 1)),"Data Missing")</f>
        <v>91.55629291318408</v>
      </c>
      <c r="D50" s="17">
        <f ca="1">IFERROR(IF(VALUE(RIGHT($B$28,2))&gt;$A50,0,AVERAGEIFS(Elec_Off_Peak, 'Avoided AC'!$D:$D, $B50, 'Avoided AC'!$E:$E, "Summer") +
        INDEX(AEPS!$S$8:$S$37, MATCH($A50, 'General Inputs'!$F$3:$F$32, 0)) +
        OFFSET(DRIPE!$I$10, MATCH('Output (non-LI)'!$B50, DRIPE!$I$11:$I$30, 0), MATCH('Output (non-LI)'!$B$28, DRIPE!$J$10:$N$10, 0), 1, 1)),"Data Missing")</f>
        <v>56.840224744224557</v>
      </c>
      <c r="E50" s="17">
        <f ca="1">IFERROR(IF(VALUE(RIGHT($B$28,2))&gt;$A50,0,AVERAGEIFS(Elec_On_Peak, 'Avoided AC'!$D:$D, $B50, 'Avoided AC'!$E:$E, "Winter") +
        INDEX(AEPS!$S$8:$S$37, MATCH($A50, 'General Inputs'!$F$3:$F$32, 0)) +
        OFFSET(DRIPE!$I$10, MATCH('Output (non-LI)'!$B50, DRIPE!$I$11:$I$30, 0), MATCH('Output (non-LI)'!$B$28, DRIPE!$J$10:$N$10, 0), 1, 1)),"Data Missing")</f>
        <v>117.51999402512153</v>
      </c>
      <c r="F50" s="17">
        <f ca="1">IFERROR(IF(VALUE(RIGHT($B$28,2))&gt;$A50,0,AVERAGEIFS(Elec_Off_Peak, 'Avoided AC'!$D:$D, $B50, 'Avoided AC'!$E:$E, "Winter") +
        INDEX(AEPS!$S$8:$S$37, MATCH($A50, 'General Inputs'!$F$3:$F$32, 0)) +
        OFFSET(DRIPE!$I$10, MATCH('Output (non-LI)'!$B50, DRIPE!$I$11:$I$30, 0), MATCH('Output (non-LI)'!$B$28, DRIPE!$J$10:$N$10, 0), 1, 1)),"Data Missing")</f>
        <v>94.837013618356096</v>
      </c>
      <c r="G50" s="17">
        <f ca="1">IFERROR(IF(VALUE(RIGHT($B$28,2))&gt;$A50,0,AVERAGEIFS(Elec_On_Peak, 'Avoided AC'!$D:$D, $B50, 'Avoided AC'!$E:$E, "Shoulder") +
        INDEX(AEPS!$S$8:$S$37, MATCH($A50, 'General Inputs'!$F$3:$F$32, 0)) +
        OFFSET(DRIPE!$I$10, MATCH('Output (non-LI)'!$B50, DRIPE!$I$11:$I$30, 0), MATCH('Output (non-LI)'!$B$28, DRIPE!$J$10:$N$10, 0), 1, 1)),"Data Missing")</f>
        <v>79.87672195433548</v>
      </c>
      <c r="H50" s="17">
        <f ca="1">IFERROR(IF(VALUE(RIGHT($B$28,2))&gt;$A50,0,AVERAGEIFS(Elec_Off_Peak, 'Avoided AC'!$D:$D, $B50, 'Avoided AC'!$E:$E, "Shoulder") +
        INDEX(AEPS!$S$8:$S$37, MATCH($A50, 'General Inputs'!$F$3:$F$32, 0)) +
        OFFSET(DRIPE!$I$10, MATCH('Output (non-LI)'!$B50, DRIPE!$I$11:$I$30, 0), MATCH('Output (non-LI)'!$B$28, DRIPE!$J$10:$N$10, 0), 1, 1)),"Data Missing")</f>
        <v>61.79080715553529</v>
      </c>
      <c r="I50" s="17">
        <f ca="1">(IF(VALUE(RIGHT($B$28,2))&gt;$A50,0,INDEX('Generation Capacity'!$E$27:$K$48,MATCH($A50,'Generation Capacity'!$B$27:$B$48,FALSE),MATCH(EDC_NAME,'Generation Capacity'!$E$26:$K$26,FALSE))+
        OFFSET(DRIPE!$B$35,MATCH('Output (non-LI)'!$B50,DRIPE!$B$11:$B$30,0),MATCH('Output (non-LI)'!$B$28,DRIPE!$C$10:$G$10,0),1,1)))</f>
        <v>36.83306259830416</v>
      </c>
      <c r="J50" s="17">
        <f ca="1">(IF(VALUE(RIGHT($B$28,2))&gt;$A50,0,INDEX('Generation Capacity'!$E$27:$K$48,MATCH($A50,'Generation Capacity'!$B$27:$B$48,FALSE),MATCH(EDC_NAME,'Generation Capacity'!$E$26:$K$26,FALSE))+
        OFFSET(DRIPE!$I$35,MATCH('Output (non-LI)'!$B50,DRIPE!$B$11:$B$30,0),MATCH('Output (non-LI)'!$B$28,DRIPE!$C$10:$G$10,0),1,1)))</f>
        <v>36.83306259830416</v>
      </c>
      <c r="K50" s="17">
        <f ca="1">IFERROR(IF(VALUE(RIGHT($B$28,2))&gt;$A50,0,INDEX('T&amp;D Capacity'!$E$4:$K$23,MATCH($A50,'T&amp;D Capacity'!$B$4:$B$23,FALSE),MATCH(EDC_NAME,'T&amp;D Capacity'!$E$3:$K$3,FALSE))),0)</f>
        <v>12.769965116633969</v>
      </c>
      <c r="L50" s="17">
        <f ca="1">IFERROR(IF(VALUE(RIGHT($B$28,2))&gt;$A50,0,INDEX('T&amp;D Capacity'!$E$28:$K$47,MATCH($A50,'T&amp;D Capacity'!$B$28:$B$47,FALSE),MATCH(EDC_NAME,'T&amp;D Capacity'!$E$27:$K$27,FALSE))),0)</f>
        <v>12.769965116633969</v>
      </c>
      <c r="M50" s="17">
        <f ca="1">IFERROR(IF(VALUE(RIGHT($B$28,2))&gt;$A50,0,INDEX('T&amp;D Capacity'!$M$4:$S$23,MATCH($A50,'T&amp;D Capacity'!$B$4:$B$23,FALSE),MATCH(EDC_NAME,'T&amp;D Capacity'!$M$3:$S$3,FALSE))),0)</f>
        <v>82.873970931148946</v>
      </c>
      <c r="N50" s="17">
        <f ca="1">IFERROR(IF(VALUE(RIGHT($B$28,2))&gt;$A50,0,INDEX('T&amp;D Capacity'!$M$28:$S$47,MATCH($A50,'T&amp;D Capacity'!$B$28:$B$47,FALSE),MATCH(EDC_NAME,'T&amp;D Capacity'!$M$27:$S$27,FALSE))),0)</f>
        <v>12.017299919136418</v>
      </c>
      <c r="O50" s="18">
        <f>IFERROR(IF(VALUE(RIGHT($B$28,2))&gt;$A50,0,IFERROR(AVERAGEIF('NG Futures'!$E:$E,$B50,'NG Futures'!$I:$I),"Data Missing")),0)</f>
        <v>5.2503223688083311</v>
      </c>
      <c r="P50" s="324"/>
    </row>
    <row r="51" spans="1:16" s="50" customFormat="1" ht="15" customHeight="1" x14ac:dyDescent="0.2">
      <c r="A51" s="124">
        <f t="shared" ref="A51:B51" si="19">A50+1</f>
        <v>37</v>
      </c>
      <c r="B51" s="124">
        <f t="shared" si="19"/>
        <v>2046</v>
      </c>
      <c r="C51" s="122">
        <f ca="1">IFERROR(IF(VALUE(RIGHT($B$28,2))&gt;$A51,0,AVERAGEIFS(Elec_On_Peak, 'Avoided AC'!$D:$D, $B51, 'Avoided AC'!$E:$E, "Summer") +
        INDEX(AEPS!$S$8:$S$37, MATCH($A51, 'General Inputs'!$F$3:$F$32, 0)) +
        OFFSET(DRIPE!$I$10, MATCH('Output (non-LI)'!$B51, DRIPE!$I$11:$I$30, 0), MATCH('Output (non-LI)'!$B$28, DRIPE!$J$10:$N$10, 0), 1, 1)),"Data Missing")</f>
        <v>93.381310526331177</v>
      </c>
      <c r="D51" s="17">
        <f ca="1">IFERROR(IF(VALUE(RIGHT($B$28,2))&gt;$A51,0,AVERAGEIFS(Elec_Off_Peak, 'Avoided AC'!$D:$D, $B51, 'Avoided AC'!$E:$E, "Summer") +
        INDEX(AEPS!$S$8:$S$37, MATCH($A51, 'General Inputs'!$F$3:$F$32, 0)) +
        OFFSET(DRIPE!$I$10, MATCH('Output (non-LI)'!$B51, DRIPE!$I$11:$I$30, 0), MATCH('Output (non-LI)'!$B$28, DRIPE!$J$10:$N$10, 0), 1, 1)),"Data Missing")</f>
        <v>58.158282074954336</v>
      </c>
      <c r="E51" s="17">
        <f ca="1">IFERROR(IF(VALUE(RIGHT($B$28,2))&gt;$A51,0,AVERAGEIFS(Elec_On_Peak, 'Avoided AC'!$D:$D, $B51, 'Avoided AC'!$E:$E, "Winter") +
        INDEX(AEPS!$S$8:$S$37, MATCH($A51, 'General Inputs'!$F$3:$F$32, 0)) +
        OFFSET(DRIPE!$I$10, MATCH('Output (non-LI)'!$B51, DRIPE!$I$11:$I$30, 0), MATCH('Output (non-LI)'!$B$28, DRIPE!$J$10:$N$10, 0), 1, 1)),"Data Missing")</f>
        <v>121.6788149547281</v>
      </c>
      <c r="F51" s="17">
        <f ca="1">IFERROR(IF(VALUE(RIGHT($B$28,2))&gt;$A51,0,AVERAGEIFS(Elec_Off_Peak, 'Avoided AC'!$D:$D, $B51, 'Avoided AC'!$E:$E, "Winter") +
        INDEX(AEPS!$S$8:$S$37, MATCH($A51, 'General Inputs'!$F$3:$F$32, 0)) +
        OFFSET(DRIPE!$I$10, MATCH('Output (non-LI)'!$B51, DRIPE!$I$11:$I$30, 0), MATCH('Output (non-LI)'!$B$28, DRIPE!$J$10:$N$10, 0), 1, 1)),"Data Missing")</f>
        <v>97.762284910266814</v>
      </c>
      <c r="G51" s="17">
        <f ca="1">IFERROR(IF(VALUE(RIGHT($B$28,2))&gt;$A51,0,AVERAGEIFS(Elec_On_Peak, 'Avoided AC'!$D:$D, $B51, 'Avoided AC'!$E:$E, "Shoulder") +
        INDEX(AEPS!$S$8:$S$37, MATCH($A51, 'General Inputs'!$F$3:$F$32, 0)) +
        OFFSET(DRIPE!$I$10, MATCH('Output (non-LI)'!$B51, DRIPE!$I$11:$I$30, 0), MATCH('Output (non-LI)'!$B$28, DRIPE!$J$10:$N$10, 0), 1, 1)),"Data Missing")</f>
        <v>81.949025120226054</v>
      </c>
      <c r="H51" s="17">
        <f ca="1">IFERROR(IF(VALUE(RIGHT($B$28,2))&gt;$A51,0,AVERAGEIFS(Elec_Off_Peak, 'Avoided AC'!$D:$D, $B51, 'Avoided AC'!$E:$E, "Shoulder") +
        INDEX(AEPS!$S$8:$S$37, MATCH($A51, 'General Inputs'!$F$3:$F$32, 0)) +
        OFFSET(DRIPE!$I$10, MATCH('Output (non-LI)'!$B51, DRIPE!$I$11:$I$30, 0), MATCH('Output (non-LI)'!$B$28, DRIPE!$J$10:$N$10, 0), 1, 1)),"Data Missing")</f>
        <v>63.279161953050149</v>
      </c>
      <c r="I51" s="17">
        <f ca="1">(IF(VALUE(RIGHT($B$28,2))&gt;$A51,0,INDEX('Generation Capacity'!$E$27:$K$48,MATCH($A51,'Generation Capacity'!$B$27:$B$48,FALSE),MATCH(EDC_NAME,'Generation Capacity'!$E$26:$K$26,FALSE))+
        OFFSET(DRIPE!$B$35,MATCH('Output (non-LI)'!$B51,DRIPE!$B$11:$B$30,0),MATCH('Output (non-LI)'!$B$28,DRIPE!$C$10:$G$10,0),1,1)))</f>
        <v>37.596075464176728</v>
      </c>
      <c r="J51" s="17">
        <f ca="1">(IF(VALUE(RIGHT($B$28,2))&gt;$A51,0,INDEX('Generation Capacity'!$E$27:$K$48,MATCH($A51,'Generation Capacity'!$B$27:$B$48,FALSE),MATCH(EDC_NAME,'Generation Capacity'!$E$26:$K$26,FALSE))+
        OFFSET(DRIPE!$I$35,MATCH('Output (non-LI)'!$B51,DRIPE!$B$11:$B$30,0),MATCH('Output (non-LI)'!$B$28,DRIPE!$C$10:$G$10,0),1,1)))</f>
        <v>37.596075464176728</v>
      </c>
      <c r="K51" s="17">
        <f ca="1">IFERROR(IF(VALUE(RIGHT($B$28,2))&gt;$A51,0,INDEX('T&amp;D Capacity'!$E$4:$K$23,MATCH($A51,'T&amp;D Capacity'!$B$4:$B$23,FALSE),MATCH(EDC_NAME,'T&amp;D Capacity'!$E$3:$K$3,FALSE))),0)</f>
        <v>13.034500482237377</v>
      </c>
      <c r="L51" s="17">
        <f ca="1">IFERROR(IF(VALUE(RIGHT($B$28,2))&gt;$A51,0,INDEX('T&amp;D Capacity'!$E$28:$K$47,MATCH($A51,'T&amp;D Capacity'!$B$28:$B$47,FALSE),MATCH(EDC_NAME,'T&amp;D Capacity'!$E$27:$K$27,FALSE))),0)</f>
        <v>13.034500482237377</v>
      </c>
      <c r="M51" s="17">
        <f ca="1">IFERROR(IF(VALUE(RIGHT($B$28,2))&gt;$A51,0,INDEX('T&amp;D Capacity'!$M$4:$S$23,MATCH($A51,'T&amp;D Capacity'!$B$4:$B$23,FALSE),MATCH(EDC_NAME,'T&amp;D Capacity'!$M$3:$S$3,FALSE))),0)</f>
        <v>84.590741180640151</v>
      </c>
      <c r="N51" s="17">
        <f ca="1">IFERROR(IF(VALUE(RIGHT($B$28,2))&gt;$A51,0,INDEX('T&amp;D Capacity'!$M$28:$S$47,MATCH($A51,'T&amp;D Capacity'!$B$28:$B$47,FALSE),MATCH(EDC_NAME,'T&amp;D Capacity'!$M$27:$S$27,FALSE))),0)</f>
        <v>12.266243498749931</v>
      </c>
      <c r="O51" s="18">
        <f>IFERROR(IF(VALUE(RIGHT($B$28,2))&gt;$A51,0,IFERROR(AVERAGEIF('NG Futures'!$E:$E,$B51,'NG Futures'!$I:$I),"Data Missing")),0)</f>
        <v>5.4583218785801444</v>
      </c>
      <c r="P51" s="325"/>
    </row>
    <row r="52" spans="1:16" s="50" customFormat="1" ht="15" customHeight="1" x14ac:dyDescent="0.2"/>
    <row r="53" spans="1:16" s="50" customFormat="1" ht="15.75" customHeight="1" x14ac:dyDescent="0.2"/>
    <row r="54" spans="1:16" s="50" customFormat="1" ht="15" customHeight="1" x14ac:dyDescent="0.2"/>
    <row r="55" spans="1:16" s="50" customFormat="1" ht="15" customHeight="1" x14ac:dyDescent="0.2">
      <c r="A55" s="26" t="s">
        <v>115</v>
      </c>
      <c r="B55" s="27" t="s">
        <v>131</v>
      </c>
    </row>
    <row r="56" spans="1:16" s="50" customFormat="1" ht="15" customHeight="1" x14ac:dyDescent="0.2">
      <c r="A56" s="84"/>
      <c r="B56" s="84"/>
      <c r="C56" s="312"/>
      <c r="D56" s="312"/>
      <c r="E56" s="312"/>
      <c r="F56" s="312"/>
      <c r="G56" s="312"/>
      <c r="H56" s="312"/>
      <c r="I56" s="312"/>
      <c r="J56" s="312"/>
      <c r="K56" s="312"/>
      <c r="L56" s="312"/>
      <c r="M56" s="312"/>
      <c r="N56" s="312"/>
    </row>
    <row r="57" spans="1:16" s="50" customFormat="1" ht="45.95" customHeight="1" x14ac:dyDescent="0.2">
      <c r="A57" s="51"/>
      <c r="B57" s="51"/>
      <c r="C57" s="313" t="str">
        <f>EDC_NAME&amp;" Zone Summer ($/MWh)"</f>
        <v>West Penn Zone Summer ($/MWh)</v>
      </c>
      <c r="D57" s="313"/>
      <c r="E57" s="313" t="str">
        <f>EDC_NAME&amp;" Zone Winter ($/MWh)"</f>
        <v>West Penn Zone Winter ($/MWh)</v>
      </c>
      <c r="F57" s="313"/>
      <c r="G57" s="313" t="str">
        <f>EDC_NAME&amp;" DLC Zone Shoulder ($/MWh)"</f>
        <v>West Penn DLC Zone Shoulder ($/MWh)</v>
      </c>
      <c r="H57" s="313"/>
      <c r="I57" s="314" t="str">
        <f>EDC_NAME&amp;" Generation Capacity
($/kW/year)"</f>
        <v>West Penn Generation Capacity
($/kW/year)</v>
      </c>
      <c r="J57" s="315"/>
      <c r="K57" s="316" t="str">
        <f>EDC_NAME&amp;" Transmission Capacity
($/kW/year)"</f>
        <v>West Penn Transmission Capacity
($/kW/year)</v>
      </c>
      <c r="L57" s="316"/>
      <c r="M57" s="316" t="str">
        <f>EDC_NAME&amp;" Distribution Capacity
($/kW/year)"</f>
        <v>West Penn Distribution Capacity
($/kW/year)</v>
      </c>
      <c r="N57" s="316"/>
      <c r="O57" s="326" t="s">
        <v>118</v>
      </c>
      <c r="P57" s="51"/>
    </row>
    <row r="58" spans="1:16" s="50" customFormat="1" ht="50.1" customHeight="1" x14ac:dyDescent="0.2">
      <c r="A58" s="116" t="s">
        <v>119</v>
      </c>
      <c r="B58" s="116" t="s">
        <v>120</v>
      </c>
      <c r="C58" s="118" t="s">
        <v>121</v>
      </c>
      <c r="D58" s="118" t="s">
        <v>122</v>
      </c>
      <c r="E58" s="118" t="s">
        <v>123</v>
      </c>
      <c r="F58" s="118" t="s">
        <v>124</v>
      </c>
      <c r="G58" s="118" t="s">
        <v>125</v>
      </c>
      <c r="H58" s="118" t="s">
        <v>126</v>
      </c>
      <c r="I58" s="284" t="s">
        <v>107</v>
      </c>
      <c r="J58" s="284" t="s">
        <v>101</v>
      </c>
      <c r="K58" s="284" t="s">
        <v>107</v>
      </c>
      <c r="L58" s="284" t="s">
        <v>101</v>
      </c>
      <c r="M58" s="284" t="s">
        <v>107</v>
      </c>
      <c r="N58" s="284" t="s">
        <v>101</v>
      </c>
      <c r="O58" s="327"/>
    </row>
    <row r="59" spans="1:16" s="50" customFormat="1" ht="15" customHeight="1" x14ac:dyDescent="0.2">
      <c r="A59" s="123">
        <v>18</v>
      </c>
      <c r="B59" s="124">
        <f>Start_Year</f>
        <v>2027</v>
      </c>
      <c r="C59" s="119">
        <f ca="1">IFERROR(IF(VALUE(RIGHT($B$55,2))&gt;$A59,0,AVERAGEIFS(Elec_On_Peak, 'Avoided AC'!$D:$D, $B59, 'Avoided AC'!$E:$E, "Summer") +
        INDEX(AEPS!$S$8:$S$37, MATCH($A59, 'General Inputs'!$F$3:$F$32, 0)) +
        OFFSET(DRIPE!$I$10, MATCH('Output (non-LI)'!$B59, DRIPE!$I$11:$I$30, 0), MATCH('Output (non-LI)'!$B$55, DRIPE!$J$10:$N$10, 0), 1, 1)),"Data Missing")</f>
        <v>0</v>
      </c>
      <c r="D59" s="117">
        <f ca="1">IFERROR(IF(VALUE(RIGHT($B$55,2))&gt;$A59,0,AVERAGEIFS(Elec_Off_Peak, 'Avoided AC'!$D:$D, $B59, 'Avoided AC'!$E:$E, "Summer") +
        INDEX(AEPS!$S$8:$S$37, MATCH($A59, 'General Inputs'!$F$3:$F$32, 0)) +
        OFFSET(DRIPE!$I$10, MATCH('Output (non-LI)'!$B59, DRIPE!$I$11:$I$30, 0), MATCH('Output (non-LI)'!$B$55, DRIPE!$J$10:$N$10, 0), 1, 1)),"Data Missing")</f>
        <v>0</v>
      </c>
      <c r="E59" s="117">
        <f ca="1">IFERROR(IF(VALUE(RIGHT($B$55,2))&gt;$A59,0,AVERAGEIFS(Elec_On_Peak, 'Avoided AC'!$D:$D, $B59, 'Avoided AC'!$E:$E, "Winter") +
        INDEX(AEPS!$S$8:$S$37, MATCH($A59, 'General Inputs'!$F$3:$F$32, 0)) +
        OFFSET(DRIPE!$I$10, MATCH('Output (non-LI)'!$B59, DRIPE!$I$11:$I$30, 0), MATCH('Output (non-LI)'!$B$55, DRIPE!$J$10:$N$10, 0), 1, 1)),"Data Missing")</f>
        <v>0</v>
      </c>
      <c r="F59" s="117">
        <f ca="1">IFERROR(IF(VALUE(RIGHT($B$55,2))&gt;$A59,0,AVERAGEIFS(Elec_Off_Peak, 'Avoided AC'!$D:$D, $B59, 'Avoided AC'!$E:$E, "Winter") +
        INDEX(AEPS!$S$8:$S$37, MATCH($A59, 'General Inputs'!$F$3:$F$32, 0)) +
        OFFSET(DRIPE!$I$10, MATCH('Output (non-LI)'!$B59, DRIPE!$I$11:$I$30, 0), MATCH('Output (non-LI)'!$B$55, DRIPE!$J$10:$N$10, 0), 1, 1)),"Data Missing")</f>
        <v>0</v>
      </c>
      <c r="G59" s="117">
        <f ca="1">IFERROR(IF(VALUE(RIGHT($B$55,2))&gt;$A59,0,AVERAGEIFS(Elec_On_Peak, 'Avoided AC'!$D:$D, $B59, 'Avoided AC'!$E:$E, "Shoulder") +
        INDEX(AEPS!$S$8:$S$37, MATCH($A59, 'General Inputs'!$F$3:$F$32, 0)) +
        OFFSET(DRIPE!$I$10, MATCH('Output (non-LI)'!$B59, DRIPE!$I$11:$I$30, 0), MATCH('Output (non-LI)'!$B$55, DRIPE!$J$10:$N$10, 0), 1, 1)),"Data Missing")</f>
        <v>0</v>
      </c>
      <c r="H59" s="117">
        <f ca="1">IFERROR(IF(VALUE(RIGHT($B$55,2))&gt;$A59,0,AVERAGEIFS(Elec_Off_Peak, 'Avoided AC'!$D:$D, $B59, 'Avoided AC'!$E:$E, "Shoulder") +
        INDEX(AEPS!$S$8:$S$37, MATCH($A59, 'General Inputs'!$F$3:$F$32, 0)) +
        OFFSET(DRIPE!$I$10, MATCH('Output (non-LI)'!$B59, DRIPE!$I$11:$I$30, 0), MATCH('Output (non-LI)'!$B$55, DRIPE!$J$10:$N$10, 0), 1, 1)),"Data Missing")</f>
        <v>0</v>
      </c>
      <c r="I59" s="117">
        <f ca="1">(IF(VALUE(RIGHT($B$55,2))&gt;$A59,0,INDEX('Generation Capacity'!$E$27:$K$48,MATCH($A59,'Generation Capacity'!$B$27:$B$48,FALSE),MATCH(EDC_NAME,'Generation Capacity'!$E$26:$K$26,FALSE))+
        OFFSET(DRIPE!$B$35,MATCH('Output (non-LI)'!$B59,DRIPE!$B$11:$B$30,0),MATCH('Output (non-LI)'!$B$55,DRIPE!$C$10:$G$10,0),1,1)))</f>
        <v>0</v>
      </c>
      <c r="J59" s="117">
        <f ca="1">(IF(VALUE(RIGHT($B$55,2))&gt;$A59,0,INDEX('Generation Capacity'!$E$27:$K$48,MATCH($A59,'Generation Capacity'!$B$27:$B$48,FALSE),MATCH(EDC_NAME,'Generation Capacity'!$E$26:$K$26,FALSE))+
        OFFSET(DRIPE!$I$35,MATCH('Output (non-LI)'!$B59,DRIPE!$B$11:$B$30,0),MATCH('Output (non-LI)'!$B$55,DRIPE!$C$10:$G$10,0),1,1)))</f>
        <v>0</v>
      </c>
      <c r="K59" s="117">
        <f>IFERROR(IF(VALUE(RIGHT($B$55,2))&gt;$A59,0,INDEX('T&amp;D Capacity'!$E$4:$K$23,MATCH($A59,'T&amp;D Capacity'!$B$4:$B$23,FALSE),MATCH(EDC_NAME,'T&amp;D Capacity'!$E$3:$K$3,FALSE))),0)</f>
        <v>0</v>
      </c>
      <c r="L59" s="117">
        <f>IFERROR(IF(VALUE(RIGHT($B$55,2))&gt;$A59,0,INDEX('T&amp;D Capacity'!$E$28:$K$47,MATCH($A59,'T&amp;D Capacity'!$B$28:$B$47,FALSE),MATCH(EDC_NAME,'T&amp;D Capacity'!$E$27:$K$27,FALSE))),0)</f>
        <v>0</v>
      </c>
      <c r="M59" s="117">
        <f>IFERROR(IF(VALUE(RIGHT($B$55,2))&gt;$A59,0,INDEX('T&amp;D Capacity'!$M$4:$S$23,MATCH($A59,'T&amp;D Capacity'!$B$4:$B$23,FALSE),MATCH(EDC_NAME,'T&amp;D Capacity'!$M$3:$S$3,FALSE))),0)</f>
        <v>0</v>
      </c>
      <c r="N59" s="117">
        <f>IFERROR(IF(VALUE(RIGHT($B$55,2))&gt;$A59,0,INDEX('T&amp;D Capacity'!$M$28:$S$47,MATCH($A59,'T&amp;D Capacity'!$B$28:$B$47,FALSE),MATCH(EDC_NAME,'T&amp;D Capacity'!$M$27:$S$27,FALSE))),0)</f>
        <v>0</v>
      </c>
      <c r="O59" s="57">
        <f>IFERROR(IF(VALUE(RIGHT($B$55,2))&gt;$A59,0,IFERROR(AVERAGEIF('NG Futures'!$E:$E,$B59,'NG Futures'!$I:$I),"Data Missing")),0)</f>
        <v>0</v>
      </c>
      <c r="P59" s="317" t="s">
        <v>127</v>
      </c>
    </row>
    <row r="60" spans="1:16" s="50" customFormat="1" ht="15" customHeight="1" x14ac:dyDescent="0.2">
      <c r="A60" s="124">
        <f>A59+1</f>
        <v>19</v>
      </c>
      <c r="B60" s="124">
        <f>B59+1</f>
        <v>2028</v>
      </c>
      <c r="C60" s="120">
        <f ca="1">IFERROR(IF(VALUE(RIGHT($B$55,2))&gt;$A60,0,AVERAGEIFS(Elec_On_Peak, 'Avoided AC'!$D:$D, $B60, 'Avoided AC'!$E:$E, "Summer") +
        INDEX(AEPS!$S$8:$S$37, MATCH($A60, 'General Inputs'!$F$3:$F$32, 0)) +
        OFFSET(DRIPE!$I$10, MATCH('Output (non-LI)'!$B60, DRIPE!$I$11:$I$30, 0), MATCH('Output (non-LI)'!$B$55, DRIPE!$J$10:$N$10, 0), 1, 1)),"Data Missing")</f>
        <v>0</v>
      </c>
      <c r="D60" s="14">
        <f ca="1">IFERROR(IF(VALUE(RIGHT($B$55,2))&gt;$A60,0,AVERAGEIFS(Elec_Off_Peak, 'Avoided AC'!$D:$D, $B60, 'Avoided AC'!$E:$E, "Summer") +
        INDEX(AEPS!$S$8:$S$37, MATCH($A60, 'General Inputs'!$F$3:$F$32, 0)) +
        OFFSET(DRIPE!$I$10, MATCH('Output (non-LI)'!$B60, DRIPE!$I$11:$I$30, 0), MATCH('Output (non-LI)'!$B$55, DRIPE!$J$10:$N$10, 0), 1, 1)),"Data Missing")</f>
        <v>0</v>
      </c>
      <c r="E60" s="14">
        <f ca="1">IFERROR(IF(VALUE(RIGHT($B$55,2))&gt;$A60,0,AVERAGEIFS(Elec_On_Peak, 'Avoided AC'!$D:$D, $B60, 'Avoided AC'!$E:$E, "Winter") +
        INDEX(AEPS!$S$8:$S$37, MATCH($A60, 'General Inputs'!$F$3:$F$32, 0)) +
        OFFSET(DRIPE!$I$10, MATCH('Output (non-LI)'!$B60, DRIPE!$I$11:$I$30, 0), MATCH('Output (non-LI)'!$B$55, DRIPE!$J$10:$N$10, 0), 1, 1)),"Data Missing")</f>
        <v>0</v>
      </c>
      <c r="F60" s="14">
        <f ca="1">IFERROR(IF(VALUE(RIGHT($B$55,2))&gt;$A60,0,AVERAGEIFS(Elec_Off_Peak, 'Avoided AC'!$D:$D, $B60, 'Avoided AC'!$E:$E, "Winter") +
        INDEX(AEPS!$S$8:$S$37, MATCH($A60, 'General Inputs'!$F$3:$F$32, 0)) +
        OFFSET(DRIPE!$I$10, MATCH('Output (non-LI)'!$B60, DRIPE!$I$11:$I$30, 0), MATCH('Output (non-LI)'!$B$55, DRIPE!$J$10:$N$10, 0), 1, 1)),"Data Missing")</f>
        <v>0</v>
      </c>
      <c r="G60" s="14">
        <f ca="1">IFERROR(IF(VALUE(RIGHT($B$55,2))&gt;$A60,0,AVERAGEIFS(Elec_On_Peak, 'Avoided AC'!$D:$D, $B60, 'Avoided AC'!$E:$E, "Shoulder") +
        INDEX(AEPS!$S$8:$S$37, MATCH($A60, 'General Inputs'!$F$3:$F$32, 0)) +
        OFFSET(DRIPE!$I$10, MATCH('Output (non-LI)'!$B60, DRIPE!$I$11:$I$30, 0), MATCH('Output (non-LI)'!$B$55, DRIPE!$J$10:$N$10, 0), 1, 1)),"Data Missing")</f>
        <v>0</v>
      </c>
      <c r="H60" s="14">
        <f ca="1">IFERROR(IF(VALUE(RIGHT($B$55,2))&gt;$A60,0,AVERAGEIFS(Elec_Off_Peak, 'Avoided AC'!$D:$D, $B60, 'Avoided AC'!$E:$E, "Shoulder") +
        INDEX(AEPS!$S$8:$S$37, MATCH($A60, 'General Inputs'!$F$3:$F$32, 0)) +
        OFFSET(DRIPE!$I$10, MATCH('Output (non-LI)'!$B60, DRIPE!$I$11:$I$30, 0), MATCH('Output (non-LI)'!$B$55, DRIPE!$J$10:$N$10, 0), 1, 1)),"Data Missing")</f>
        <v>0</v>
      </c>
      <c r="I60" s="14">
        <f ca="1">(IF(VALUE(RIGHT($B$55,2))&gt;$A60,0,INDEX('Generation Capacity'!$E$27:$K$48,MATCH($A60,'Generation Capacity'!$B$27:$B$48,FALSE),MATCH(EDC_NAME,'Generation Capacity'!$E$26:$K$26,FALSE))+
        OFFSET(DRIPE!$B$35,MATCH('Output (non-LI)'!$B60,DRIPE!$B$11:$B$30,0),MATCH('Output (non-LI)'!$B$55,DRIPE!$C$10:$G$10,0),1,1)))</f>
        <v>0</v>
      </c>
      <c r="J60" s="14">
        <f ca="1">(IF(VALUE(RIGHT($B$55,2))&gt;$A60,0,INDEX('Generation Capacity'!$E$27:$K$48,MATCH($A60,'Generation Capacity'!$B$27:$B$48,FALSE),MATCH(EDC_NAME,'Generation Capacity'!$E$26:$K$26,FALSE))+
        OFFSET(DRIPE!$I$35,MATCH('Output (non-LI)'!$B60,DRIPE!$B$11:$B$30,0),MATCH('Output (non-LI)'!$B$55,DRIPE!$C$10:$G$10,0),1,1)))</f>
        <v>0</v>
      </c>
      <c r="K60" s="14">
        <f>IFERROR(IF(VALUE(RIGHT($B$55,2))&gt;$A60,0,INDEX('T&amp;D Capacity'!$E$4:$K$23,MATCH($A60,'T&amp;D Capacity'!$B$4:$B$23,FALSE),MATCH(EDC_NAME,'T&amp;D Capacity'!$E$3:$K$3,FALSE))),0)</f>
        <v>0</v>
      </c>
      <c r="L60" s="14">
        <f>IFERROR(IF(VALUE(RIGHT($B$55,2))&gt;$A60,0,INDEX('T&amp;D Capacity'!$E$28:$K$47,MATCH($A60,'T&amp;D Capacity'!$B$28:$B$47,FALSE),MATCH(EDC_NAME,'T&amp;D Capacity'!$E$27:$K$27,FALSE))),0)</f>
        <v>0</v>
      </c>
      <c r="M60" s="14">
        <f>IFERROR(IF(VALUE(RIGHT($B$55,2))&gt;$A60,0,INDEX('T&amp;D Capacity'!$M$4:$S$23,MATCH($A60,'T&amp;D Capacity'!$B$4:$B$23,FALSE),MATCH(EDC_NAME,'T&amp;D Capacity'!$M$3:$S$3,FALSE))),0)</f>
        <v>0</v>
      </c>
      <c r="N60" s="14">
        <f>IFERROR(IF(VALUE(RIGHT($B$55,2))&gt;$A60,0,INDEX('T&amp;D Capacity'!$M$28:$S$47,MATCH($A60,'T&amp;D Capacity'!$B$28:$B$47,FALSE),MATCH(EDC_NAME,'T&amp;D Capacity'!$M$27:$S$27,FALSE))),0)</f>
        <v>0</v>
      </c>
      <c r="O60" s="57">
        <f>IFERROR(IF(VALUE(RIGHT($B$55,2))&gt;$A60,0,IFERROR(AVERAGEIF('NG Futures'!$E:$E,$B60,'NG Futures'!$I:$I),"Data Missing")),0)</f>
        <v>0</v>
      </c>
      <c r="P60" s="318"/>
    </row>
    <row r="61" spans="1:16" s="50" customFormat="1" ht="15" customHeight="1" x14ac:dyDescent="0.2">
      <c r="A61" s="124">
        <f t="shared" ref="A61:B61" si="20">A60+1</f>
        <v>20</v>
      </c>
      <c r="B61" s="124">
        <f t="shared" si="20"/>
        <v>2029</v>
      </c>
      <c r="C61" s="120">
        <f ca="1">IFERROR(IF(VALUE(RIGHT($B$55,2))&gt;$A61,0,AVERAGEIFS(Elec_On_Peak, 'Avoided AC'!$D:$D, $B61, 'Avoided AC'!$E:$E, "Summer") +
        INDEX(AEPS!$S$8:$S$37, MATCH($A61, 'General Inputs'!$F$3:$F$32, 0)) +
        OFFSET(DRIPE!$I$10, MATCH('Output (non-LI)'!$B61, DRIPE!$I$11:$I$30, 0), MATCH('Output (non-LI)'!$B$55, DRIPE!$J$10:$N$10, 0), 1, 1)),"Data Missing")</f>
        <v>90.754042239779963</v>
      </c>
      <c r="D61" s="14">
        <f ca="1">IFERROR(IF(VALUE(RIGHT($B$55,2))&gt;$A61,0,AVERAGEIFS(Elec_Off_Peak, 'Avoided AC'!$D:$D, $B61, 'Avoided AC'!$E:$E, "Summer") +
        INDEX(AEPS!$S$8:$S$37, MATCH($A61, 'General Inputs'!$F$3:$F$32, 0)) +
        OFFSET(DRIPE!$I$10, MATCH('Output (non-LI)'!$B61, DRIPE!$I$11:$I$30, 0), MATCH('Output (non-LI)'!$B$55, DRIPE!$J$10:$N$10, 0), 1, 1)),"Data Missing")</f>
        <v>59.973526843185802</v>
      </c>
      <c r="E61" s="14">
        <f ca="1">IFERROR(IF(VALUE(RIGHT($B$55,2))&gt;$A61,0,AVERAGEIFS(Elec_On_Peak, 'Avoided AC'!$D:$D, $B61, 'Avoided AC'!$E:$E, "Winter") +
        INDEX(AEPS!$S$8:$S$37, MATCH($A61, 'General Inputs'!$F$3:$F$32, 0)) +
        OFFSET(DRIPE!$I$10, MATCH('Output (non-LI)'!$B61, DRIPE!$I$11:$I$30, 0), MATCH('Output (non-LI)'!$B$55, DRIPE!$J$10:$N$10, 0), 1, 1)),"Data Missing")</f>
        <v>99.71265378345808</v>
      </c>
      <c r="F61" s="14">
        <f ca="1">IFERROR(IF(VALUE(RIGHT($B$55,2))&gt;$A61,0,AVERAGEIFS(Elec_Off_Peak, 'Avoided AC'!$D:$D, $B61, 'Avoided AC'!$E:$E, "Winter") +
        INDEX(AEPS!$S$8:$S$37, MATCH($A61, 'General Inputs'!$F$3:$F$32, 0)) +
        OFFSET(DRIPE!$I$10, MATCH('Output (non-LI)'!$B61, DRIPE!$I$11:$I$30, 0), MATCH('Output (non-LI)'!$B$55, DRIPE!$J$10:$N$10, 0), 1, 1)),"Data Missing")</f>
        <v>86.212427732320293</v>
      </c>
      <c r="G61" s="14">
        <f ca="1">IFERROR(IF(VALUE(RIGHT($B$55,2))&gt;$A61,0,AVERAGEIFS(Elec_On_Peak, 'Avoided AC'!$D:$D, $B61, 'Avoided AC'!$E:$E, "Shoulder") +
        INDEX(AEPS!$S$8:$S$37, MATCH($A61, 'General Inputs'!$F$3:$F$32, 0)) +
        OFFSET(DRIPE!$I$10, MATCH('Output (non-LI)'!$B61, DRIPE!$I$11:$I$30, 0), MATCH('Output (non-LI)'!$B$55, DRIPE!$J$10:$N$10, 0), 1, 1)),"Data Missing")</f>
        <v>76.160817117963532</v>
      </c>
      <c r="H61" s="14">
        <f ca="1">IFERROR(IF(VALUE(RIGHT($B$55,2))&gt;$A61,0,AVERAGEIFS(Elec_Off_Peak, 'Avoided AC'!$D:$D, $B61, 'Avoided AC'!$E:$E, "Shoulder") +
        INDEX(AEPS!$S$8:$S$37, MATCH($A61, 'General Inputs'!$F$3:$F$32, 0)) +
        OFFSET(DRIPE!$I$10, MATCH('Output (non-LI)'!$B61, DRIPE!$I$11:$I$30, 0), MATCH('Output (non-LI)'!$B$55, DRIPE!$J$10:$N$10, 0), 1, 1)),"Data Missing")</f>
        <v>62.58270514729994</v>
      </c>
      <c r="I61" s="14">
        <f ca="1">(IF(VALUE(RIGHT($B$55,2))&gt;$A61,0,INDEX('Generation Capacity'!$E$27:$K$48,MATCH($A61,'Generation Capacity'!$B$27:$B$48,FALSE),MATCH(EDC_NAME,'Generation Capacity'!$E$26:$K$26,FALSE))+
        OFFSET(DRIPE!$B$35,MATCH('Output (non-LI)'!$B61,DRIPE!$B$11:$B$30,0),MATCH('Output (non-LI)'!$B$55,DRIPE!$C$10:$G$10,0),1,1)))</f>
        <v>39.556568546614422</v>
      </c>
      <c r="J61" s="14">
        <f ca="1">(IF(VALUE(RIGHT($B$55,2))&gt;$A61,0,INDEX('Generation Capacity'!$E$27:$K$48,MATCH($A61,'Generation Capacity'!$B$27:$B$48,FALSE),MATCH(EDC_NAME,'Generation Capacity'!$E$26:$K$26,FALSE))+
        OFFSET(DRIPE!$I$35,MATCH('Output (non-LI)'!$B61,DRIPE!$B$11:$B$30,0),MATCH('Output (non-LI)'!$B$55,DRIPE!$C$10:$G$10,0),1,1)))</f>
        <v>39.556568546614422</v>
      </c>
      <c r="K61" s="14">
        <f ca="1">IFERROR(IF(VALUE(RIGHT($B$55,2))&gt;$A61,0,INDEX('T&amp;D Capacity'!$E$4:$K$23,MATCH($A61,'T&amp;D Capacity'!$B$4:$B$23,FALSE),MATCH(EDC_NAME,'T&amp;D Capacity'!$E$3:$K$3,FALSE))),0)</f>
        <v>9.1984532626252022</v>
      </c>
      <c r="L61" s="14">
        <f ca="1">IFERROR(IF(VALUE(RIGHT($B$55,2))&gt;$A61,0,INDEX('T&amp;D Capacity'!$E$28:$K$47,MATCH($A61,'T&amp;D Capacity'!$B$28:$B$47,FALSE),MATCH(EDC_NAME,'T&amp;D Capacity'!$E$27:$K$27,FALSE))),0)</f>
        <v>9.1984532626252022</v>
      </c>
      <c r="M61" s="14">
        <f>IFERROR(IF(VALUE(RIGHT($B$55,2))&gt;$A61,0,INDEX('T&amp;D Capacity'!$M$4:$S$23,MATCH($A61,'T&amp;D Capacity'!$B$4:$B$23,FALSE),MATCH(EDC_NAME,'T&amp;D Capacity'!$M$3:$S$3,FALSE))),0)</f>
        <v>51.885319620370865</v>
      </c>
      <c r="N61" s="14">
        <f>IFERROR(IF(VALUE(RIGHT($B$55,2))&gt;$A61,0,INDEX('T&amp;D Capacity'!$M$28:$S$47,MATCH($A61,'T&amp;D Capacity'!$B$28:$B$47,FALSE),MATCH(EDC_NAME,'T&amp;D Capacity'!$M$27:$S$27,FALSE))),0)</f>
        <v>7.0145137757062912</v>
      </c>
      <c r="O61" s="57">
        <f>IFERROR(IF(VALUE(RIGHT($B$55,2))&gt;$A61,0,IFERROR(AVERAGEIF('NG Futures'!$E:$E,$B61,'NG Futures'!$I:$I),"Data Missing")),0)</f>
        <v>3.5623333333333331</v>
      </c>
      <c r="P61" s="318"/>
    </row>
    <row r="62" spans="1:16" s="50" customFormat="1" ht="15" customHeight="1" x14ac:dyDescent="0.2">
      <c r="A62" s="124">
        <f t="shared" ref="A62:B62" si="21">A61+1</f>
        <v>21</v>
      </c>
      <c r="B62" s="124">
        <f t="shared" si="21"/>
        <v>2030</v>
      </c>
      <c r="C62" s="120">
        <f ca="1">IFERROR(IF(VALUE(RIGHT($B$55,2))&gt;$A62,0,AVERAGEIFS(Elec_On_Peak, 'Avoided AC'!$D:$D, $B62, 'Avoided AC'!$E:$E, "Summer") +
        INDEX(AEPS!$S$8:$S$37, MATCH($A62, 'General Inputs'!$F$3:$F$32, 0)) +
        OFFSET(DRIPE!$I$10, MATCH('Output (non-LI)'!$B62, DRIPE!$I$11:$I$30, 0), MATCH('Output (non-LI)'!$B$55, DRIPE!$J$10:$N$10, 0), 1, 1)),"Data Missing")</f>
        <v>98.959971037556926</v>
      </c>
      <c r="D62" s="14">
        <f ca="1">IFERROR(IF(VALUE(RIGHT($B$55,2))&gt;$A62,0,AVERAGEIFS(Elec_Off_Peak, 'Avoided AC'!$D:$D, $B62, 'Avoided AC'!$E:$E, "Summer") +
        INDEX(AEPS!$S$8:$S$37, MATCH($A62, 'General Inputs'!$F$3:$F$32, 0)) +
        OFFSET(DRIPE!$I$10, MATCH('Output (non-LI)'!$B62, DRIPE!$I$11:$I$30, 0), MATCH('Output (non-LI)'!$B$55, DRIPE!$J$10:$N$10, 0), 1, 1)),"Data Missing")</f>
        <v>70.15256560228292</v>
      </c>
      <c r="E62" s="14">
        <f ca="1">IFERROR(IF(VALUE(RIGHT($B$55,2))&gt;$A62,0,AVERAGEIFS(Elec_On_Peak, 'Avoided AC'!$D:$D, $B62, 'Avoided AC'!$E:$E, "Winter") +
        INDEX(AEPS!$S$8:$S$37, MATCH($A62, 'General Inputs'!$F$3:$F$32, 0)) +
        OFFSET(DRIPE!$I$10, MATCH('Output (non-LI)'!$B62, DRIPE!$I$11:$I$30, 0), MATCH('Output (non-LI)'!$B$55, DRIPE!$J$10:$N$10, 0), 1, 1)),"Data Missing")</f>
        <v>110.78824601620767</v>
      </c>
      <c r="F62" s="14">
        <f ca="1">IFERROR(IF(VALUE(RIGHT($B$55,2))&gt;$A62,0,AVERAGEIFS(Elec_Off_Peak, 'Avoided AC'!$D:$D, $B62, 'Avoided AC'!$E:$E, "Winter") +
        INDEX(AEPS!$S$8:$S$37, MATCH($A62, 'General Inputs'!$F$3:$F$32, 0)) +
        OFFSET(DRIPE!$I$10, MATCH('Output (non-LI)'!$B62, DRIPE!$I$11:$I$30, 0), MATCH('Output (non-LI)'!$B$55, DRIPE!$J$10:$N$10, 0), 1, 1)),"Data Missing")</f>
        <v>96.613008662512982</v>
      </c>
      <c r="G62" s="14">
        <f ca="1">IFERROR(IF(VALUE(RIGHT($B$55,2))&gt;$A62,0,AVERAGEIFS(Elec_On_Peak, 'Avoided AC'!$D:$D, $B62, 'Avoided AC'!$E:$E, "Shoulder") +
        INDEX(AEPS!$S$8:$S$37, MATCH($A62, 'General Inputs'!$F$3:$F$32, 0)) +
        OFFSET(DRIPE!$I$10, MATCH('Output (non-LI)'!$B62, DRIPE!$I$11:$I$30, 0), MATCH('Output (non-LI)'!$B$55, DRIPE!$J$10:$N$10, 0), 1, 1)),"Data Missing")</f>
        <v>88.110462447613699</v>
      </c>
      <c r="H62" s="14">
        <f ca="1">IFERROR(IF(VALUE(RIGHT($B$55,2))&gt;$A62,0,AVERAGEIFS(Elec_Off_Peak, 'Avoided AC'!$D:$D, $B62, 'Avoided AC'!$E:$E, "Shoulder") +
        INDEX(AEPS!$S$8:$S$37, MATCH($A62, 'General Inputs'!$F$3:$F$32, 0)) +
        OFFSET(DRIPE!$I$10, MATCH('Output (non-LI)'!$B62, DRIPE!$I$11:$I$30, 0), MATCH('Output (non-LI)'!$B$55, DRIPE!$J$10:$N$10, 0), 1, 1)),"Data Missing")</f>
        <v>73.1693468852487</v>
      </c>
      <c r="I62" s="14">
        <f ca="1">(IF(VALUE(RIGHT($B$55,2))&gt;$A62,0,INDEX('Generation Capacity'!$E$27:$K$48,MATCH($A62,'Generation Capacity'!$B$27:$B$48,FALSE),MATCH(EDC_NAME,'Generation Capacity'!$E$26:$K$26,FALSE))+
        OFFSET(DRIPE!$B$35,MATCH('Output (non-LI)'!$B62,DRIPE!$B$11:$B$30,0),MATCH('Output (non-LI)'!$B$55,DRIPE!$C$10:$G$10,0),1,1)))</f>
        <v>40.366181495546314</v>
      </c>
      <c r="J62" s="14">
        <f ca="1">(IF(VALUE(RIGHT($B$55,2))&gt;$A62,0,INDEX('Generation Capacity'!$E$27:$K$48,MATCH($A62,'Generation Capacity'!$B$27:$B$48,FALSE),MATCH(EDC_NAME,'Generation Capacity'!$E$26:$K$26,FALSE))+
        OFFSET(DRIPE!$I$35,MATCH('Output (non-LI)'!$B62,DRIPE!$B$11:$B$30,0),MATCH('Output (non-LI)'!$B$55,DRIPE!$C$10:$G$10,0),1,1)))</f>
        <v>40.366181495546314</v>
      </c>
      <c r="K62" s="14">
        <f ca="1">IFERROR(IF(VALUE(RIGHT($B$55,2))&gt;$A62,0,INDEX('T&amp;D Capacity'!$E$4:$K$23,MATCH($A62,'T&amp;D Capacity'!$B$4:$B$23,FALSE),MATCH(EDC_NAME,'T&amp;D Capacity'!$E$3:$K$3,FALSE))),0)</f>
        <v>9.3890032112421178</v>
      </c>
      <c r="L62" s="14">
        <f ca="1">IFERROR(IF(VALUE(RIGHT($B$55,2))&gt;$A62,0,INDEX('T&amp;D Capacity'!$E$28:$K$47,MATCH($A62,'T&amp;D Capacity'!$B$28:$B$47,FALSE),MATCH(EDC_NAME,'T&amp;D Capacity'!$E$27:$K$27,FALSE))),0)</f>
        <v>9.3890032112421178</v>
      </c>
      <c r="M62" s="14">
        <f>IFERROR(IF(VALUE(RIGHT($B$55,2))&gt;$A62,0,INDEX('T&amp;D Capacity'!$M$4:$S$23,MATCH($A62,'T&amp;D Capacity'!$B$4:$B$23,FALSE),MATCH(EDC_NAME,'T&amp;D Capacity'!$M$3:$S$3,FALSE))),0)</f>
        <v>56.91817232966423</v>
      </c>
      <c r="N62" s="14">
        <f>IFERROR(IF(VALUE(RIGHT($B$55,2))&gt;$A62,0,INDEX('T&amp;D Capacity'!$M$28:$S$47,MATCH($A62,'T&amp;D Capacity'!$B$28:$B$47,FALSE),MATCH(EDC_NAME,'T&amp;D Capacity'!$M$27:$S$27,FALSE))),0)</f>
        <v>7.9289728403091431</v>
      </c>
      <c r="O62" s="57">
        <f>IFERROR(IF(VALUE(RIGHT($B$55,2))&gt;$A62,0,IFERROR(AVERAGEIF('NG Futures'!$E:$E,$B62,'NG Futures'!$I:$I),"Data Missing")),0)</f>
        <v>3.4177733333333329</v>
      </c>
      <c r="P62" s="319"/>
    </row>
    <row r="63" spans="1:16" s="50" customFormat="1" ht="15" customHeight="1" x14ac:dyDescent="0.2">
      <c r="A63" s="124">
        <f t="shared" ref="A63:B63" si="22">A62+1</f>
        <v>22</v>
      </c>
      <c r="B63" s="124">
        <f t="shared" si="22"/>
        <v>2031</v>
      </c>
      <c r="C63" s="121">
        <f ca="1">IFERROR(IF(VALUE(RIGHT($B$55,2))&gt;$A63,0,AVERAGEIFS(Elec_On_Peak, 'Avoided AC'!$D:$D, $B63, 'Avoided AC'!$E:$E, "Summer") +
        INDEX(AEPS!$S$8:$S$37, MATCH($A63, 'General Inputs'!$F$3:$F$32, 0)) +
        OFFSET(DRIPE!$I$10, MATCH('Output (non-LI)'!$B63, DRIPE!$I$11:$I$30, 0), MATCH('Output (non-LI)'!$B$55, DRIPE!$J$10:$N$10, 0), 1, 1)),"Data Missing")</f>
        <v>105.82378504452343</v>
      </c>
      <c r="D63" s="15">
        <f ca="1">IFERROR(IF(VALUE(RIGHT($B$55,2))&gt;$A63,0,AVERAGEIFS(Elec_Off_Peak, 'Avoided AC'!$D:$D, $B63, 'Avoided AC'!$E:$E, "Summer") +
        INDEX(AEPS!$S$8:$S$37, MATCH($A63, 'General Inputs'!$F$3:$F$32, 0)) +
        OFFSET(DRIPE!$I$10, MATCH('Output (non-LI)'!$B63, DRIPE!$I$11:$I$30, 0), MATCH('Output (non-LI)'!$B$55, DRIPE!$J$10:$N$10, 0), 1, 1)),"Data Missing")</f>
        <v>75.877852442793397</v>
      </c>
      <c r="E63" s="15">
        <f ca="1">IFERROR(IF(VALUE(RIGHT($B$55,2))&gt;$A63,0,AVERAGEIFS(Elec_On_Peak, 'Avoided AC'!$D:$D, $B63, 'Avoided AC'!$E:$E, "Winter") +
        INDEX(AEPS!$S$8:$S$37, MATCH($A63, 'General Inputs'!$F$3:$F$32, 0)) +
        OFFSET(DRIPE!$I$10, MATCH('Output (non-LI)'!$B63, DRIPE!$I$11:$I$30, 0), MATCH('Output (non-LI)'!$B$55, DRIPE!$J$10:$N$10, 0), 1, 1)),"Data Missing")</f>
        <v>113.13922486782273</v>
      </c>
      <c r="F63" s="15">
        <f ca="1">IFERROR(IF(VALUE(RIGHT($B$55,2))&gt;$A63,0,AVERAGEIFS(Elec_Off_Peak, 'Avoided AC'!$D:$D, $B63, 'Avoided AC'!$E:$E, "Winter") +
        INDEX(AEPS!$S$8:$S$37, MATCH($A63, 'General Inputs'!$F$3:$F$32, 0)) +
        OFFSET(DRIPE!$I$10, MATCH('Output (non-LI)'!$B63, DRIPE!$I$11:$I$30, 0), MATCH('Output (non-LI)'!$B$55, DRIPE!$J$10:$N$10, 0), 1, 1)),"Data Missing")</f>
        <v>101.03219410491263</v>
      </c>
      <c r="G63" s="15">
        <f ca="1">IFERROR(IF(VALUE(RIGHT($B$55,2))&gt;$A63,0,AVERAGEIFS(Elec_On_Peak, 'Avoided AC'!$D:$D, $B63, 'Avoided AC'!$E:$E, "Shoulder") +
        INDEX(AEPS!$S$8:$S$37, MATCH($A63, 'General Inputs'!$F$3:$F$32, 0)) +
        OFFSET(DRIPE!$I$10, MATCH('Output (non-LI)'!$B63, DRIPE!$I$11:$I$30, 0), MATCH('Output (non-LI)'!$B$55, DRIPE!$J$10:$N$10, 0), 1, 1)),"Data Missing")</f>
        <v>91.807600195495922</v>
      </c>
      <c r="H63" s="15">
        <f ca="1">IFERROR(IF(VALUE(RIGHT($B$55,2))&gt;$A63,0,AVERAGEIFS(Elec_Off_Peak, 'Avoided AC'!$D:$D, $B63, 'Avoided AC'!$E:$E, "Shoulder") +
        INDEX(AEPS!$S$8:$S$37, MATCH($A63, 'General Inputs'!$F$3:$F$32, 0)) +
        OFFSET(DRIPE!$I$10, MATCH('Output (non-LI)'!$B63, DRIPE!$I$11:$I$30, 0), MATCH('Output (non-LI)'!$B$55, DRIPE!$J$10:$N$10, 0), 1, 1)),"Data Missing")</f>
        <v>79.219285342789618</v>
      </c>
      <c r="I63" s="15">
        <f ca="1">(IF(VALUE(RIGHT($B$55,2))&gt;$A63,0,INDEX('Generation Capacity'!$E$27:$K$48,MATCH($A63,'Generation Capacity'!$B$27:$B$48,FALSE),MATCH(EDC_NAME,'Generation Capacity'!$E$26:$K$26,FALSE))+
        OFFSET(DRIPE!$B$35,MATCH('Output (non-LI)'!$B63,DRIPE!$B$11:$B$30,0),MATCH('Output (non-LI)'!$B$55,DRIPE!$C$10:$G$10,0),1,1)))</f>
        <v>41.192179915077226</v>
      </c>
      <c r="J63" s="15">
        <f ca="1">(IF(VALUE(RIGHT($B$55,2))&gt;$A63,0,INDEX('Generation Capacity'!$E$27:$K$48,MATCH($A63,'Generation Capacity'!$B$27:$B$48,FALSE),MATCH(EDC_NAME,'Generation Capacity'!$E$26:$K$26,FALSE))+
        OFFSET(DRIPE!$I$35,MATCH('Output (non-LI)'!$B63,DRIPE!$B$11:$B$30,0),MATCH('Output (non-LI)'!$B$55,DRIPE!$C$10:$G$10,0),1,1)))</f>
        <v>41.192179915077226</v>
      </c>
      <c r="K63" s="15">
        <f ca="1">IFERROR(IF(VALUE(RIGHT($B$55,2))&gt;$A63,0,INDEX('T&amp;D Capacity'!$E$4:$K$23,MATCH($A63,'T&amp;D Capacity'!$B$4:$B$23,FALSE),MATCH(EDC_NAME,'T&amp;D Capacity'!$E$3:$K$3,FALSE))),0)</f>
        <v>9.5835004846843326</v>
      </c>
      <c r="L63" s="15">
        <f ca="1">IFERROR(IF(VALUE(RIGHT($B$55,2))&gt;$A63,0,INDEX('T&amp;D Capacity'!$E$28:$K$47,MATCH($A63,'T&amp;D Capacity'!$B$28:$B$47,FALSE),MATCH(EDC_NAME,'T&amp;D Capacity'!$E$27:$K$27,FALSE))),0)</f>
        <v>9.5835004846843326</v>
      </c>
      <c r="M63" s="15">
        <f>IFERROR(IF(VALUE(RIGHT($B$55,2))&gt;$A63,0,INDEX('T&amp;D Capacity'!$M$4:$S$23,MATCH($A63,'T&amp;D Capacity'!$B$4:$B$23,FALSE),MATCH(EDC_NAME,'T&amp;D Capacity'!$M$3:$S$3,FALSE))),0)</f>
        <v>62.194589674472809</v>
      </c>
      <c r="N63" s="15">
        <f>IFERROR(IF(VALUE(RIGHT($B$55,2))&gt;$A63,0,INDEX('T&amp;D Capacity'!$M$28:$S$47,MATCH($A63,'T&amp;D Capacity'!$B$28:$B$47,FALSE),MATCH(EDC_NAME,'T&amp;D Capacity'!$M$27:$S$27,FALSE))),0)</f>
        <v>9.0186463743448257</v>
      </c>
      <c r="O63" s="16">
        <f>IFERROR(IF(VALUE(RIGHT($B$55,2))&gt;$A63,0,IFERROR(AVERAGEIF('NG Futures'!$E:$E,$B63,'NG Futures'!$I:$I),"Data Missing")),0)</f>
        <v>3.3679469428694606</v>
      </c>
      <c r="P63" s="320" t="s">
        <v>128</v>
      </c>
    </row>
    <row r="64" spans="1:16" s="50" customFormat="1" ht="15" customHeight="1" x14ac:dyDescent="0.2">
      <c r="A64" s="124">
        <f t="shared" ref="A64:B64" si="23">A63+1</f>
        <v>23</v>
      </c>
      <c r="B64" s="124">
        <f t="shared" si="23"/>
        <v>2032</v>
      </c>
      <c r="C64" s="121">
        <f ca="1">IFERROR(IF(VALUE(RIGHT($B$55,2))&gt;$A64,0,AVERAGEIFS(Elec_On_Peak, 'Avoided AC'!$D:$D, $B64, 'Avoided AC'!$E:$E, "Summer") +
        INDEX(AEPS!$S$8:$S$37, MATCH($A64, 'General Inputs'!$F$3:$F$32, 0)) +
        OFFSET(DRIPE!$I$10, MATCH('Output (non-LI)'!$B64, DRIPE!$I$11:$I$30, 0), MATCH('Output (non-LI)'!$B$55, DRIPE!$J$10:$N$10, 0), 1, 1)),"Data Missing")</f>
        <v>104.76898729521784</v>
      </c>
      <c r="D64" s="15">
        <f ca="1">IFERROR(IF(VALUE(RIGHT($B$55,2))&gt;$A64,0,AVERAGEIFS(Elec_Off_Peak, 'Avoided AC'!$D:$D, $B64, 'Avoided AC'!$E:$E, "Summer") +
        INDEX(AEPS!$S$8:$S$37, MATCH($A64, 'General Inputs'!$F$3:$F$32, 0)) +
        OFFSET(DRIPE!$I$10, MATCH('Output (non-LI)'!$B64, DRIPE!$I$11:$I$30, 0), MATCH('Output (non-LI)'!$B$55, DRIPE!$J$10:$N$10, 0), 1, 1)),"Data Missing")</f>
        <v>74.864724476380886</v>
      </c>
      <c r="E64" s="15">
        <f ca="1">IFERROR(IF(VALUE(RIGHT($B$55,2))&gt;$A64,0,AVERAGEIFS(Elec_On_Peak, 'Avoided AC'!$D:$D, $B64, 'Avoided AC'!$E:$E, "Winter") +
        INDEX(AEPS!$S$8:$S$37, MATCH($A64, 'General Inputs'!$F$3:$F$32, 0)) +
        OFFSET(DRIPE!$I$10, MATCH('Output (non-LI)'!$B64, DRIPE!$I$11:$I$30, 0), MATCH('Output (non-LI)'!$B$55, DRIPE!$J$10:$N$10, 0), 1, 1)),"Data Missing")</f>
        <v>114.63209326561338</v>
      </c>
      <c r="F64" s="15">
        <f ca="1">IFERROR(IF(VALUE(RIGHT($B$55,2))&gt;$A64,0,AVERAGEIFS(Elec_Off_Peak, 'Avoided AC'!$D:$D, $B64, 'Avoided AC'!$E:$E, "Winter") +
        INDEX(AEPS!$S$8:$S$37, MATCH($A64, 'General Inputs'!$F$3:$F$32, 0)) +
        OFFSET(DRIPE!$I$10, MATCH('Output (non-LI)'!$B64, DRIPE!$I$11:$I$30, 0), MATCH('Output (non-LI)'!$B$55, DRIPE!$J$10:$N$10, 0), 1, 1)),"Data Missing")</f>
        <v>101.7735604316409</v>
      </c>
      <c r="G64" s="15">
        <f ca="1">IFERROR(IF(VALUE(RIGHT($B$55,2))&gt;$A64,0,AVERAGEIFS(Elec_On_Peak, 'Avoided AC'!$D:$D, $B64, 'Avoided AC'!$E:$E, "Shoulder") +
        INDEX(AEPS!$S$8:$S$37, MATCH($A64, 'General Inputs'!$F$3:$F$32, 0)) +
        OFFSET(DRIPE!$I$10, MATCH('Output (non-LI)'!$B64, DRIPE!$I$11:$I$30, 0), MATCH('Output (non-LI)'!$B$55, DRIPE!$J$10:$N$10, 0), 1, 1)),"Data Missing")</f>
        <v>91.401305605162548</v>
      </c>
      <c r="H64" s="15">
        <f ca="1">IFERROR(IF(VALUE(RIGHT($B$55,2))&gt;$A64,0,AVERAGEIFS(Elec_Off_Peak, 'Avoided AC'!$D:$D, $B64, 'Avoided AC'!$E:$E, "Shoulder") +
        INDEX(AEPS!$S$8:$S$37, MATCH($A64, 'General Inputs'!$F$3:$F$32, 0)) +
        OFFSET(DRIPE!$I$10, MATCH('Output (non-LI)'!$B64, DRIPE!$I$11:$I$30, 0), MATCH('Output (non-LI)'!$B$55, DRIPE!$J$10:$N$10, 0), 1, 1)),"Data Missing")</f>
        <v>78.652760277152538</v>
      </c>
      <c r="I64" s="15">
        <f ca="1">(IF(VALUE(RIGHT($B$55,2))&gt;$A64,0,INDEX('Generation Capacity'!$E$27:$K$48,MATCH($A64,'Generation Capacity'!$B$27:$B$48,FALSE),MATCH(EDC_NAME,'Generation Capacity'!$E$26:$K$26,FALSE))+
        OFFSET(DRIPE!$B$35,MATCH('Output (non-LI)'!$B64,DRIPE!$B$11:$B$30,0),MATCH('Output (non-LI)'!$B$55,DRIPE!$C$10:$G$10,0),1,1)))</f>
        <v>42.034799660168403</v>
      </c>
      <c r="J64" s="15">
        <f ca="1">(IF(VALUE(RIGHT($B$55,2))&gt;$A64,0,INDEX('Generation Capacity'!$E$27:$K$48,MATCH($A64,'Generation Capacity'!$B$27:$B$48,FALSE),MATCH(EDC_NAME,'Generation Capacity'!$E$26:$K$26,FALSE))+
        OFFSET(DRIPE!$I$35,MATCH('Output (non-LI)'!$B64,DRIPE!$B$11:$B$30,0),MATCH('Output (non-LI)'!$B$55,DRIPE!$C$10:$G$10,0),1,1)))</f>
        <v>42.034799660168403</v>
      </c>
      <c r="K64" s="15">
        <f ca="1">IFERROR(IF(VALUE(RIGHT($B$55,2))&gt;$A64,0,INDEX('T&amp;D Capacity'!$E$4:$K$23,MATCH($A64,'T&amp;D Capacity'!$B$4:$B$23,FALSE),MATCH(EDC_NAME,'T&amp;D Capacity'!$E$3:$K$3,FALSE))),0)</f>
        <v>9.7820268534975199</v>
      </c>
      <c r="L64" s="15">
        <f ca="1">IFERROR(IF(VALUE(RIGHT($B$55,2))&gt;$A64,0,INDEX('T&amp;D Capacity'!$E$28:$K$47,MATCH($A64,'T&amp;D Capacity'!$B$28:$B$47,FALSE),MATCH(EDC_NAME,'T&amp;D Capacity'!$E$27:$K$27,FALSE))),0)</f>
        <v>9.7820268534975199</v>
      </c>
      <c r="M64" s="15">
        <f ca="1">IFERROR(IF(VALUE(RIGHT($B$55,2))&gt;$A64,0,INDEX('T&amp;D Capacity'!$M$4:$S$23,MATCH($A64,'T&amp;D Capacity'!$B$4:$B$23,FALSE),MATCH(EDC_NAME,'T&amp;D Capacity'!$M$3:$S$3,FALSE))),0)</f>
        <v>63.482977572781131</v>
      </c>
      <c r="N64" s="15">
        <f ca="1">IFERROR(IF(VALUE(RIGHT($B$55,2))&gt;$A64,0,INDEX('T&amp;D Capacity'!$M$28:$S$47,MATCH($A64,'T&amp;D Capacity'!$B$28:$B$47,FALSE),MATCH(EDC_NAME,'T&amp;D Capacity'!$M$27:$S$27,FALSE))),0)</f>
        <v>9.2054715452904787</v>
      </c>
      <c r="O64" s="16">
        <f>IFERROR(IF(VALUE(RIGHT($B$55,2))&gt;$A64,0,IFERROR(AVERAGEIF('NG Futures'!$E:$E,$B64,'NG Futures'!$I:$I),"Data Missing")),0)</f>
        <v>3.4331546501092309</v>
      </c>
      <c r="P64" s="321"/>
    </row>
    <row r="65" spans="1:16" s="50" customFormat="1" ht="15" customHeight="1" x14ac:dyDescent="0.2">
      <c r="A65" s="124">
        <f t="shared" ref="A65:B65" si="24">A64+1</f>
        <v>24</v>
      </c>
      <c r="B65" s="124">
        <f t="shared" si="24"/>
        <v>2033</v>
      </c>
      <c r="C65" s="121">
        <f ca="1">IFERROR(IF(VALUE(RIGHT($B$55,2))&gt;$A65,0,AVERAGEIFS(Elec_On_Peak, 'Avoided AC'!$D:$D, $B65, 'Avoided AC'!$E:$E, "Summer") +
        INDEX(AEPS!$S$8:$S$37, MATCH($A65, 'General Inputs'!$F$3:$F$32, 0)) +
        OFFSET(DRIPE!$I$10, MATCH('Output (non-LI)'!$B65, DRIPE!$I$11:$I$30, 0), MATCH('Output (non-LI)'!$B$55, DRIPE!$J$10:$N$10, 0), 1, 1)),"Data Missing")</f>
        <v>76.253378015111821</v>
      </c>
      <c r="D65" s="15">
        <f ca="1">IFERROR(IF(VALUE(RIGHT($B$55,2))&gt;$A65,0,AVERAGEIFS(Elec_Off_Peak, 'Avoided AC'!$D:$D, $B65, 'Avoided AC'!$E:$E, "Summer") +
        INDEX(AEPS!$S$8:$S$37, MATCH($A65, 'General Inputs'!$F$3:$F$32, 0)) +
        OFFSET(DRIPE!$I$10, MATCH('Output (non-LI)'!$B65, DRIPE!$I$11:$I$30, 0), MATCH('Output (non-LI)'!$B$55, DRIPE!$J$10:$N$10, 0), 1, 1)),"Data Missing")</f>
        <v>45.654107122545334</v>
      </c>
      <c r="E65" s="15">
        <f ca="1">IFERROR(IF(VALUE(RIGHT($B$55,2))&gt;$A65,0,AVERAGEIFS(Elec_On_Peak, 'Avoided AC'!$D:$D, $B65, 'Avoided AC'!$E:$E, "Winter") +
        INDEX(AEPS!$S$8:$S$37, MATCH($A65, 'General Inputs'!$F$3:$F$32, 0)) +
        OFFSET(DRIPE!$I$10, MATCH('Output (non-LI)'!$B65, DRIPE!$I$11:$I$30, 0), MATCH('Output (non-LI)'!$B$55, DRIPE!$J$10:$N$10, 0), 1, 1)),"Data Missing")</f>
        <v>88.079095456708288</v>
      </c>
      <c r="F65" s="15">
        <f ca="1">IFERROR(IF(VALUE(RIGHT($B$55,2))&gt;$A65,0,AVERAGEIFS(Elec_Off_Peak, 'Avoided AC'!$D:$D, $B65, 'Avoided AC'!$E:$E, "Winter") +
        INDEX(AEPS!$S$8:$S$37, MATCH($A65, 'General Inputs'!$F$3:$F$32, 0)) +
        OFFSET(DRIPE!$I$10, MATCH('Output (non-LI)'!$B65, DRIPE!$I$11:$I$30, 0), MATCH('Output (non-LI)'!$B$55, DRIPE!$J$10:$N$10, 0), 1, 1)),"Data Missing")</f>
        <v>73.914529363865398</v>
      </c>
      <c r="G65" s="15">
        <f ca="1">IFERROR(IF(VALUE(RIGHT($B$55,2))&gt;$A65,0,AVERAGEIFS(Elec_On_Peak, 'Avoided AC'!$D:$D, $B65, 'Avoided AC'!$E:$E, "Shoulder") +
        INDEX(AEPS!$S$8:$S$37, MATCH($A65, 'General Inputs'!$F$3:$F$32, 0)) +
        OFFSET(DRIPE!$I$10, MATCH('Output (non-LI)'!$B65, DRIPE!$I$11:$I$30, 0), MATCH('Output (non-LI)'!$B$55, DRIPE!$J$10:$N$10, 0), 1, 1)),"Data Missing")</f>
        <v>62.91353075092745</v>
      </c>
      <c r="H65" s="15">
        <f ca="1">IFERROR(IF(VALUE(RIGHT($B$55,2))&gt;$A65,0,AVERAGEIFS(Elec_Off_Peak, 'Avoided AC'!$D:$D, $B65, 'Avoided AC'!$E:$E, "Shoulder") +
        INDEX(AEPS!$S$8:$S$37, MATCH($A65, 'General Inputs'!$F$3:$F$32, 0)) +
        OFFSET(DRIPE!$I$10, MATCH('Output (non-LI)'!$B65, DRIPE!$I$11:$I$30, 0), MATCH('Output (non-LI)'!$B$55, DRIPE!$J$10:$N$10, 0), 1, 1)),"Data Missing")</f>
        <v>49.461311581423566</v>
      </c>
      <c r="I65" s="15">
        <f ca="1">(IF(VALUE(RIGHT($B$55,2))&gt;$A65,0,INDEX('Generation Capacity'!$E$27:$K$48,MATCH($A65,'Generation Capacity'!$B$27:$B$48,FALSE),MATCH(EDC_NAME,'Generation Capacity'!$E$26:$K$26,FALSE))+
        OFFSET(DRIPE!$B$35,MATCH('Output (non-LI)'!$B65,DRIPE!$B$11:$B$30,0),MATCH('Output (non-LI)'!$B$55,DRIPE!$C$10:$G$10,0),1,1)))</f>
        <v>28.799281471618873</v>
      </c>
      <c r="J65" s="15">
        <f ca="1">(IF(VALUE(RIGHT($B$55,2))&gt;$A65,0,INDEX('Generation Capacity'!$E$27:$K$48,MATCH($A65,'Generation Capacity'!$B$27:$B$48,FALSE),MATCH(EDC_NAME,'Generation Capacity'!$E$26:$K$26,FALSE))+
        OFFSET(DRIPE!$I$35,MATCH('Output (non-LI)'!$B65,DRIPE!$B$11:$B$30,0),MATCH('Output (non-LI)'!$B$55,DRIPE!$C$10:$G$10,0),1,1)))</f>
        <v>28.799281471618873</v>
      </c>
      <c r="K65" s="15">
        <f ca="1">IFERROR(IF(VALUE(RIGHT($B$55,2))&gt;$A65,0,INDEX('T&amp;D Capacity'!$E$4:$K$23,MATCH($A65,'T&amp;D Capacity'!$B$4:$B$23,FALSE),MATCH(EDC_NAME,'T&amp;D Capacity'!$E$3:$K$3,FALSE))),0)</f>
        <v>9.9846657821396683</v>
      </c>
      <c r="L65" s="15">
        <f ca="1">IFERROR(IF(VALUE(RIGHT($B$55,2))&gt;$A65,0,INDEX('T&amp;D Capacity'!$E$28:$K$47,MATCH($A65,'T&amp;D Capacity'!$B$28:$B$47,FALSE),MATCH(EDC_NAME,'T&amp;D Capacity'!$E$27:$K$27,FALSE))),0)</f>
        <v>9.9846657821396683</v>
      </c>
      <c r="M65" s="15">
        <f ca="1">IFERROR(IF(VALUE(RIGHT($B$55,2))&gt;$A65,0,INDEX('T&amp;D Capacity'!$M$4:$S$23,MATCH($A65,'T&amp;D Capacity'!$B$4:$B$23,FALSE),MATCH(EDC_NAME,'T&amp;D Capacity'!$M$3:$S$3,FALSE))),0)</f>
        <v>64.798054985164484</v>
      </c>
      <c r="N65" s="15">
        <f ca="1">IFERROR(IF(VALUE(RIGHT($B$55,2))&gt;$A65,0,INDEX('T&amp;D Capacity'!$M$28:$S$47,MATCH($A65,'T&amp;D Capacity'!$B$28:$B$47,FALSE),MATCH(EDC_NAME,'T&amp;D Capacity'!$M$27:$S$27,FALSE))),0)</f>
        <v>9.396166880676569</v>
      </c>
      <c r="O65" s="16">
        <f>IFERROR(IF(VALUE(RIGHT($B$55,2))&gt;$A65,0,IFERROR(AVERAGEIF('NG Futures'!$E:$E,$B65,'NG Futures'!$I:$I),"Data Missing")),0)</f>
        <v>3.6808695479745581</v>
      </c>
      <c r="P65" s="321"/>
    </row>
    <row r="66" spans="1:16" s="50" customFormat="1" ht="15" customHeight="1" x14ac:dyDescent="0.2">
      <c r="A66" s="124">
        <f t="shared" ref="A66:B66" si="25">A65+1</f>
        <v>25</v>
      </c>
      <c r="B66" s="124">
        <f t="shared" si="25"/>
        <v>2034</v>
      </c>
      <c r="C66" s="121">
        <f ca="1">IFERROR(IF(VALUE(RIGHT($B$55,2))&gt;$A66,0,AVERAGEIFS(Elec_On_Peak, 'Avoided AC'!$D:$D, $B66, 'Avoided AC'!$E:$E, "Summer") +
        INDEX(AEPS!$S$8:$S$37, MATCH($A66, 'General Inputs'!$F$3:$F$32, 0)) +
        OFFSET(DRIPE!$I$10, MATCH('Output (non-LI)'!$B66, DRIPE!$I$11:$I$30, 0), MATCH('Output (non-LI)'!$B$55, DRIPE!$J$10:$N$10, 0), 1, 1)),"Data Missing")</f>
        <v>79.14252965970276</v>
      </c>
      <c r="D66" s="15">
        <f ca="1">IFERROR(IF(VALUE(RIGHT($B$55,2))&gt;$A66,0,AVERAGEIFS(Elec_Off_Peak, 'Avoided AC'!$D:$D, $B66, 'Avoided AC'!$E:$E, "Summer") +
        INDEX(AEPS!$S$8:$S$37, MATCH($A66, 'General Inputs'!$F$3:$F$32, 0)) +
        OFFSET(DRIPE!$I$10, MATCH('Output (non-LI)'!$B66, DRIPE!$I$11:$I$30, 0), MATCH('Output (non-LI)'!$B$55, DRIPE!$J$10:$N$10, 0), 1, 1)),"Data Missing")</f>
        <v>47.692048713186267</v>
      </c>
      <c r="E66" s="15">
        <f ca="1">IFERROR(IF(VALUE(RIGHT($B$55,2))&gt;$A66,0,AVERAGEIFS(Elec_On_Peak, 'Avoided AC'!$D:$D, $B66, 'Avoided AC'!$E:$E, "Winter") +
        INDEX(AEPS!$S$8:$S$37, MATCH($A66, 'General Inputs'!$F$3:$F$32, 0)) +
        OFFSET(DRIPE!$I$10, MATCH('Output (non-LI)'!$B66, DRIPE!$I$11:$I$30, 0), MATCH('Output (non-LI)'!$B$55, DRIPE!$J$10:$N$10, 0), 1, 1)),"Data Missing")</f>
        <v>93.471194924770529</v>
      </c>
      <c r="F66" s="15">
        <f ca="1">IFERROR(IF(VALUE(RIGHT($B$55,2))&gt;$A66,0,AVERAGEIFS(Elec_Off_Peak, 'Avoided AC'!$D:$D, $B66, 'Avoided AC'!$E:$E, "Winter") +
        INDEX(AEPS!$S$8:$S$37, MATCH($A66, 'General Inputs'!$F$3:$F$32, 0)) +
        OFFSET(DRIPE!$I$10, MATCH('Output (non-LI)'!$B66, DRIPE!$I$11:$I$30, 0), MATCH('Output (non-LI)'!$B$55, DRIPE!$J$10:$N$10, 0), 1, 1)),"Data Missing")</f>
        <v>77.676169201749133</v>
      </c>
      <c r="G66" s="15">
        <f ca="1">IFERROR(IF(VALUE(RIGHT($B$55,2))&gt;$A66,0,AVERAGEIFS(Elec_On_Peak, 'Avoided AC'!$D:$D, $B66, 'Avoided AC'!$E:$E, "Shoulder") +
        INDEX(AEPS!$S$8:$S$37, MATCH($A66, 'General Inputs'!$F$3:$F$32, 0)) +
        OFFSET(DRIPE!$I$10, MATCH('Output (non-LI)'!$B66, DRIPE!$I$11:$I$30, 0), MATCH('Output (non-LI)'!$B$55, DRIPE!$J$10:$N$10, 0), 1, 1)),"Data Missing")</f>
        <v>66.126633394468271</v>
      </c>
      <c r="H66" s="15">
        <f ca="1">IFERROR(IF(VALUE(RIGHT($B$55,2))&gt;$A66,0,AVERAGEIFS(Elec_Off_Peak, 'Avoided AC'!$D:$D, $B66, 'Avoided AC'!$E:$E, "Shoulder") +
        INDEX(AEPS!$S$8:$S$37, MATCH($A66, 'General Inputs'!$F$3:$F$32, 0)) +
        OFFSET(DRIPE!$I$10, MATCH('Output (non-LI)'!$B66, DRIPE!$I$11:$I$30, 0), MATCH('Output (non-LI)'!$B$55, DRIPE!$J$10:$N$10, 0), 1, 1)),"Data Missing")</f>
        <v>51.722347622474587</v>
      </c>
      <c r="I66" s="15">
        <f ca="1">(IF(VALUE(RIGHT($B$55,2))&gt;$A66,0,INDEX('Generation Capacity'!$E$27:$K$48,MATCH($A66,'Generation Capacity'!$B$27:$B$48,FALSE),MATCH(EDC_NAME,'Generation Capacity'!$E$26:$K$26,FALSE))+
        OFFSET(DRIPE!$B$35,MATCH('Output (non-LI)'!$B66,DRIPE!$B$11:$B$30,0),MATCH('Output (non-LI)'!$B$55,DRIPE!$C$10:$G$10,0),1,1)))</f>
        <v>29.395871077277739</v>
      </c>
      <c r="J66" s="15">
        <f ca="1">(IF(VALUE(RIGHT($B$55,2))&gt;$A66,0,INDEX('Generation Capacity'!$E$27:$K$48,MATCH($A66,'Generation Capacity'!$B$27:$B$48,FALSE),MATCH(EDC_NAME,'Generation Capacity'!$E$26:$K$26,FALSE))+
        OFFSET(DRIPE!$I$35,MATCH('Output (non-LI)'!$B66,DRIPE!$B$11:$B$30,0),MATCH('Output (non-LI)'!$B$55,DRIPE!$C$10:$G$10,0),1,1)))</f>
        <v>29.395871077277739</v>
      </c>
      <c r="K66" s="15">
        <f ca="1">IFERROR(IF(VALUE(RIGHT($B$55,2))&gt;$A66,0,INDEX('T&amp;D Capacity'!$E$4:$K$23,MATCH($A66,'T&amp;D Capacity'!$B$4:$B$23,FALSE),MATCH(EDC_NAME,'T&amp;D Capacity'!$E$3:$K$3,FALSE))),0)</f>
        <v>10.191502464071213</v>
      </c>
      <c r="L66" s="15">
        <f ca="1">IFERROR(IF(VALUE(RIGHT($B$55,2))&gt;$A66,0,INDEX('T&amp;D Capacity'!$E$28:$K$47,MATCH($A66,'T&amp;D Capacity'!$B$28:$B$47,FALSE),MATCH(EDC_NAME,'T&amp;D Capacity'!$E$27:$K$27,FALSE))),0)</f>
        <v>10.191502464071213</v>
      </c>
      <c r="M66" s="15">
        <f ca="1">IFERROR(IF(VALUE(RIGHT($B$55,2))&gt;$A66,0,INDEX('T&amp;D Capacity'!$M$4:$S$23,MATCH($A66,'T&amp;D Capacity'!$B$4:$B$23,FALSE),MATCH(EDC_NAME,'T&amp;D Capacity'!$M$3:$S$3,FALSE))),0)</f>
        <v>66.140374796481908</v>
      </c>
      <c r="N66" s="15">
        <f ca="1">IFERROR(IF(VALUE(RIGHT($B$55,2))&gt;$A66,0,INDEX('T&amp;D Capacity'!$M$28:$S$47,MATCH($A66,'T&amp;D Capacity'!$B$28:$B$47,FALSE),MATCH(EDC_NAME,'T&amp;D Capacity'!$M$27:$S$27,FALSE))),0)</f>
        <v>9.5908125526379333</v>
      </c>
      <c r="O66" s="16">
        <f>IFERROR(IF(VALUE(RIGHT($B$55,2))&gt;$A66,0,IFERROR(AVERAGEIF('NG Futures'!$E:$E,$B66,'NG Futures'!$I:$I),"Data Missing")),0)</f>
        <v>3.9952671302460749</v>
      </c>
      <c r="P66" s="321"/>
    </row>
    <row r="67" spans="1:16" s="50" customFormat="1" ht="15" customHeight="1" x14ac:dyDescent="0.2">
      <c r="A67" s="124">
        <f t="shared" ref="A67:B67" si="26">A66+1</f>
        <v>26</v>
      </c>
      <c r="B67" s="124">
        <f t="shared" si="26"/>
        <v>2035</v>
      </c>
      <c r="C67" s="121">
        <f ca="1">IFERROR(IF(VALUE(RIGHT($B$55,2))&gt;$A67,0,AVERAGEIFS(Elec_On_Peak, 'Avoided AC'!$D:$D, $B67, 'Avoided AC'!$E:$E, "Summer") +
        INDEX(AEPS!$S$8:$S$37, MATCH($A67, 'General Inputs'!$F$3:$F$32, 0)) +
        OFFSET(DRIPE!$I$10, MATCH('Output (non-LI)'!$B67, DRIPE!$I$11:$I$30, 0), MATCH('Output (non-LI)'!$B$55, DRIPE!$J$10:$N$10, 0), 1, 1)),"Data Missing")</f>
        <v>81.931582500549922</v>
      </c>
      <c r="D67" s="15">
        <f ca="1">IFERROR(IF(VALUE(RIGHT($B$55,2))&gt;$A67,0,AVERAGEIFS(Elec_Off_Peak, 'Avoided AC'!$D:$D, $B67, 'Avoided AC'!$E:$E, "Summer") +
        INDEX(AEPS!$S$8:$S$37, MATCH($A67, 'General Inputs'!$F$3:$F$32, 0)) +
        OFFSET(DRIPE!$I$10, MATCH('Output (non-LI)'!$B67, DRIPE!$I$11:$I$30, 0), MATCH('Output (non-LI)'!$B$55, DRIPE!$J$10:$N$10, 0), 1, 1)),"Data Missing")</f>
        <v>49.662021082051282</v>
      </c>
      <c r="E67" s="15">
        <f ca="1">IFERROR(IF(VALUE(RIGHT($B$55,2))&gt;$A67,0,AVERAGEIFS(Elec_On_Peak, 'Avoided AC'!$D:$D, $B67, 'Avoided AC'!$E:$E, "Winter") +
        INDEX(AEPS!$S$8:$S$37, MATCH($A67, 'General Inputs'!$F$3:$F$32, 0)) +
        OFFSET(DRIPE!$I$10, MATCH('Output (non-LI)'!$B67, DRIPE!$I$11:$I$30, 0), MATCH('Output (non-LI)'!$B$55, DRIPE!$J$10:$N$10, 0), 1, 1)),"Data Missing")</f>
        <v>98.520653422665092</v>
      </c>
      <c r="F67" s="15">
        <f ca="1">IFERROR(IF(VALUE(RIGHT($B$55,2))&gt;$A67,0,AVERAGEIFS(Elec_Off_Peak, 'Avoided AC'!$D:$D, $B67, 'Avoided AC'!$E:$E, "Winter") +
        INDEX(AEPS!$S$8:$S$37, MATCH($A67, 'General Inputs'!$F$3:$F$32, 0)) +
        OFFSET(DRIPE!$I$10, MATCH('Output (non-LI)'!$B67, DRIPE!$I$11:$I$30, 0), MATCH('Output (non-LI)'!$B$55, DRIPE!$J$10:$N$10, 0), 1, 1)),"Data Missing")</f>
        <v>81.202808965984232</v>
      </c>
      <c r="G67" s="15">
        <f ca="1">IFERROR(IF(VALUE(RIGHT($B$55,2))&gt;$A67,0,AVERAGEIFS(Elec_On_Peak, 'Avoided AC'!$D:$D, $B67, 'Avoided AC'!$E:$E, "Shoulder") +
        INDEX(AEPS!$S$8:$S$37, MATCH($A67, 'General Inputs'!$F$3:$F$32, 0)) +
        OFFSET(DRIPE!$I$10, MATCH('Output (non-LI)'!$B67, DRIPE!$I$11:$I$30, 0), MATCH('Output (non-LI)'!$B$55, DRIPE!$J$10:$N$10, 0), 1, 1)),"Data Missing")</f>
        <v>69.337733057302913</v>
      </c>
      <c r="H67" s="15">
        <f ca="1">IFERROR(IF(VALUE(RIGHT($B$55,2))&gt;$A67,0,AVERAGEIFS(Elec_Off_Peak, 'Avoided AC'!$D:$D, $B67, 'Avoided AC'!$E:$E, "Shoulder") +
        INDEX(AEPS!$S$8:$S$37, MATCH($A67, 'General Inputs'!$F$3:$F$32, 0)) +
        OFFSET(DRIPE!$I$10, MATCH('Output (non-LI)'!$B67, DRIPE!$I$11:$I$30, 0), MATCH('Output (non-LI)'!$B$55, DRIPE!$J$10:$N$10, 0), 1, 1)),"Data Missing")</f>
        <v>53.982969824505226</v>
      </c>
      <c r="I67" s="15">
        <f ca="1">(IF(VALUE(RIGHT($B$55,2))&gt;$A67,0,INDEX('Generation Capacity'!$E$27:$K$48,MATCH($A67,'Generation Capacity'!$B$27:$B$48,FALSE),MATCH(EDC_NAME,'Generation Capacity'!$E$26:$K$26,FALSE))+
        OFFSET(DRIPE!$B$35,MATCH('Output (non-LI)'!$B67,DRIPE!$B$11:$B$30,0),MATCH('Output (non-LI)'!$B$55,DRIPE!$C$10:$G$10,0),1,1)))</f>
        <v>30.004819295353062</v>
      </c>
      <c r="J67" s="15">
        <f ca="1">(IF(VALUE(RIGHT($B$55,2))&gt;$A67,0,INDEX('Generation Capacity'!$E$27:$K$48,MATCH($A67,'Generation Capacity'!$B$27:$B$48,FALSE),MATCH(EDC_NAME,'Generation Capacity'!$E$26:$K$26,FALSE))+
        OFFSET(DRIPE!$I$35,MATCH('Output (non-LI)'!$B67,DRIPE!$B$11:$B$30,0),MATCH('Output (non-LI)'!$B$55,DRIPE!$C$10:$G$10,0),1,1)))</f>
        <v>30.004819295353062</v>
      </c>
      <c r="K67" s="15">
        <f ca="1">IFERROR(IF(VALUE(RIGHT($B$55,2))&gt;$A67,0,INDEX('T&amp;D Capacity'!$E$4:$K$23,MATCH($A67,'T&amp;D Capacity'!$B$4:$B$23,FALSE),MATCH(EDC_NAME,'T&amp;D Capacity'!$E$3:$K$3,FALSE))),0)</f>
        <v>10.402623857572072</v>
      </c>
      <c r="L67" s="15">
        <f ca="1">IFERROR(IF(VALUE(RIGHT($B$55,2))&gt;$A67,0,INDEX('T&amp;D Capacity'!$E$28:$K$47,MATCH($A67,'T&amp;D Capacity'!$B$28:$B$47,FALSE),MATCH(EDC_NAME,'T&amp;D Capacity'!$E$27:$K$27,FALSE))),0)</f>
        <v>10.402623857572072</v>
      </c>
      <c r="M67" s="15">
        <f ca="1">IFERROR(IF(VALUE(RIGHT($B$55,2))&gt;$A67,0,INDEX('T&amp;D Capacity'!$M$4:$S$23,MATCH($A67,'T&amp;D Capacity'!$B$4:$B$23,FALSE),MATCH(EDC_NAME,'T&amp;D Capacity'!$M$3:$S$3,FALSE))),0)</f>
        <v>67.510501344842098</v>
      </c>
      <c r="N67" s="15">
        <f ca="1">IFERROR(IF(VALUE(RIGHT($B$55,2))&gt;$A67,0,INDEX('T&amp;D Capacity'!$M$28:$S$47,MATCH($A67,'T&amp;D Capacity'!$B$28:$B$47,FALSE),MATCH(EDC_NAME,'T&amp;D Capacity'!$M$27:$S$27,FALSE))),0)</f>
        <v>9.7894903941099525</v>
      </c>
      <c r="O67" s="16">
        <f>IFERROR(IF(VALUE(RIGHT($B$55,2))&gt;$A67,0,IFERROR(AVERAGEIF('NG Futures'!$E:$E,$B67,'NG Futures'!$I:$I),"Data Missing")),0)</f>
        <v>4.297775585014695</v>
      </c>
      <c r="P67" s="321"/>
    </row>
    <row r="68" spans="1:16" s="50" customFormat="1" ht="15" customHeight="1" x14ac:dyDescent="0.2">
      <c r="A68" s="124">
        <f t="shared" ref="A68:B68" si="27">A67+1</f>
        <v>27</v>
      </c>
      <c r="B68" s="124">
        <f t="shared" si="27"/>
        <v>2036</v>
      </c>
      <c r="C68" s="121">
        <f ca="1">IFERROR(IF(VALUE(RIGHT($B$55,2))&gt;$A68,0,AVERAGEIFS(Elec_On_Peak, 'Avoided AC'!$D:$D, $B68, 'Avoided AC'!$E:$E, "Summer") +
        INDEX(AEPS!$S$8:$S$37, MATCH($A68, 'General Inputs'!$F$3:$F$32, 0)) +
        OFFSET(DRIPE!$I$10, MATCH('Output (non-LI)'!$B68, DRIPE!$I$11:$I$30, 0), MATCH('Output (non-LI)'!$B$55, DRIPE!$J$10:$N$10, 0), 1, 1)),"Data Missing")</f>
        <v>84.516854392089215</v>
      </c>
      <c r="D68" s="15">
        <f ca="1">IFERROR(IF(VALUE(RIGHT($B$55,2))&gt;$A68,0,AVERAGEIFS(Elec_Off_Peak, 'Avoided AC'!$D:$D, $B68, 'Avoided AC'!$E:$E, "Summer") +
        INDEX(AEPS!$S$8:$S$37, MATCH($A68, 'General Inputs'!$F$3:$F$32, 0)) +
        OFFSET(DRIPE!$I$10, MATCH('Output (non-LI)'!$B68, DRIPE!$I$11:$I$30, 0), MATCH('Output (non-LI)'!$B$55, DRIPE!$J$10:$N$10, 0), 1, 1)),"Data Missing")</f>
        <v>51.492641039859841</v>
      </c>
      <c r="E68" s="15">
        <f ca="1">IFERROR(IF(VALUE(RIGHT($B$55,2))&gt;$A68,0,AVERAGEIFS(Elec_On_Peak, 'Avoided AC'!$D:$D, $B68, 'Avoided AC'!$E:$E, "Winter") +
        INDEX(AEPS!$S$8:$S$37, MATCH($A68, 'General Inputs'!$F$3:$F$32, 0)) +
        OFFSET(DRIPE!$I$10, MATCH('Output (non-LI)'!$B68, DRIPE!$I$11:$I$30, 0), MATCH('Output (non-LI)'!$B$55, DRIPE!$J$10:$N$10, 0), 1, 1)),"Data Missing")</f>
        <v>103.08041583716579</v>
      </c>
      <c r="F68" s="15">
        <f ca="1">IFERROR(IF(VALUE(RIGHT($B$55,2))&gt;$A68,0,AVERAGEIFS(Elec_Off_Peak, 'Avoided AC'!$D:$D, $B68, 'Avoided AC'!$E:$E, "Winter") +
        INDEX(AEPS!$S$8:$S$37, MATCH($A68, 'General Inputs'!$F$3:$F$32, 0)) +
        OFFSET(DRIPE!$I$10, MATCH('Output (non-LI)'!$B68, DRIPE!$I$11:$I$30, 0), MATCH('Output (non-LI)'!$B$55, DRIPE!$J$10:$N$10, 0), 1, 1)),"Data Missing")</f>
        <v>84.393195924011735</v>
      </c>
      <c r="G68" s="15">
        <f ca="1">IFERROR(IF(VALUE(RIGHT($B$55,2))&gt;$A68,0,AVERAGEIFS(Elec_On_Peak, 'Avoided AC'!$D:$D, $B68, 'Avoided AC'!$E:$E, "Shoulder") +
        INDEX(AEPS!$S$8:$S$37, MATCH($A68, 'General Inputs'!$F$3:$F$32, 0)) +
        OFFSET(DRIPE!$I$10, MATCH('Output (non-LI)'!$B68, DRIPE!$I$11:$I$30, 0), MATCH('Output (non-LI)'!$B$55, DRIPE!$J$10:$N$10, 0), 1, 1)),"Data Missing")</f>
        <v>72.077429177743937</v>
      </c>
      <c r="H68" s="15">
        <f ca="1">IFERROR(IF(VALUE(RIGHT($B$55,2))&gt;$A68,0,AVERAGEIFS(Elec_Off_Peak, 'Avoided AC'!$D:$D, $B68, 'Avoided AC'!$E:$E, "Shoulder") +
        INDEX(AEPS!$S$8:$S$37, MATCH($A68, 'General Inputs'!$F$3:$F$32, 0)) +
        OFFSET(DRIPE!$I$10, MATCH('Output (non-LI)'!$B68, DRIPE!$I$11:$I$30, 0), MATCH('Output (non-LI)'!$B$55, DRIPE!$J$10:$N$10, 0), 1, 1)),"Data Missing")</f>
        <v>55.919936694619999</v>
      </c>
      <c r="I68" s="15">
        <f ca="1">(IF(VALUE(RIGHT($B$55,2))&gt;$A68,0,INDEX('Generation Capacity'!$E$27:$K$48,MATCH($A68,'Generation Capacity'!$B$27:$B$48,FALSE),MATCH(EDC_NAME,'Generation Capacity'!$E$26:$K$26,FALSE))+
        OFFSET(DRIPE!$B$35,MATCH('Output (non-LI)'!$B68,DRIPE!$B$11:$B$30,0),MATCH('Output (non-LI)'!$B$55,DRIPE!$C$10:$G$10,0),1,1)))</f>
        <v>30.626382139860866</v>
      </c>
      <c r="J68" s="15">
        <f ca="1">(IF(VALUE(RIGHT($B$55,2))&gt;$A68,0,INDEX('Generation Capacity'!$E$27:$K$48,MATCH($A68,'Generation Capacity'!$B$27:$B$48,FALSE),MATCH(EDC_NAME,'Generation Capacity'!$E$26:$K$26,FALSE))+
        OFFSET(DRIPE!$I$35,MATCH('Output (non-LI)'!$B68,DRIPE!$B$11:$B$30,0),MATCH('Output (non-LI)'!$B$55,DRIPE!$C$10:$G$10,0),1,1)))</f>
        <v>30.626382139860866</v>
      </c>
      <c r="K68" s="15">
        <f ca="1">IFERROR(IF(VALUE(RIGHT($B$55,2))&gt;$A68,0,INDEX('T&amp;D Capacity'!$E$4:$K$23,MATCH($A68,'T&amp;D Capacity'!$B$4:$B$23,FALSE),MATCH(EDC_NAME,'T&amp;D Capacity'!$E$3:$K$3,FALSE))),0)</f>
        <v>10.61811872230064</v>
      </c>
      <c r="L68" s="15">
        <f ca="1">IFERROR(IF(VALUE(RIGHT($B$55,2))&gt;$A68,0,INDEX('T&amp;D Capacity'!$E$28:$K$47,MATCH($A68,'T&amp;D Capacity'!$B$28:$B$47,FALSE),MATCH(EDC_NAME,'T&amp;D Capacity'!$E$27:$K$27,FALSE))),0)</f>
        <v>10.61811872230064</v>
      </c>
      <c r="M68" s="15">
        <f ca="1">IFERROR(IF(VALUE(RIGHT($B$55,2))&gt;$A68,0,INDEX('T&amp;D Capacity'!$M$4:$S$23,MATCH($A68,'T&amp;D Capacity'!$B$4:$B$23,FALSE),MATCH(EDC_NAME,'T&amp;D Capacity'!$M$3:$S$3,FALSE))),0)</f>
        <v>68.909010658862414</v>
      </c>
      <c r="N68" s="15">
        <f ca="1">IFERROR(IF(VALUE(RIGHT($B$55,2))&gt;$A68,0,INDEX('T&amp;D Capacity'!$M$28:$S$47,MATCH($A68,'T&amp;D Capacity'!$B$28:$B$47,FALSE),MATCH(EDC_NAME,'T&amp;D Capacity'!$M$27:$S$27,FALSE))),0)</f>
        <v>9.9922839332327538</v>
      </c>
      <c r="O68" s="16">
        <f>IFERROR(IF(VALUE(RIGHT($B$55,2))&gt;$A68,0,IFERROR(AVERAGEIF('NG Futures'!$E:$E,$B68,'NG Futures'!$I:$I),"Data Missing")),0)</f>
        <v>4.5669539736620006</v>
      </c>
      <c r="P68" s="322"/>
    </row>
    <row r="69" spans="1:16" s="50" customFormat="1" ht="15" customHeight="1" x14ac:dyDescent="0.2">
      <c r="A69" s="124">
        <f t="shared" ref="A69:B69" si="28">A68+1</f>
        <v>28</v>
      </c>
      <c r="B69" s="124">
        <f t="shared" si="28"/>
        <v>2037</v>
      </c>
      <c r="C69" s="122">
        <f ca="1">IFERROR(IF(VALUE(RIGHT($B$55,2))&gt;$A69,0,AVERAGEIFS(Elec_On_Peak, 'Avoided AC'!$D:$D, $B69, 'Avoided AC'!$E:$E, "Summer") +
        INDEX(AEPS!$S$8:$S$37, MATCH($A69, 'General Inputs'!$F$3:$F$32, 0)) +
        OFFSET(DRIPE!$I$10, MATCH('Output (non-LI)'!$B69, DRIPE!$I$11:$I$30, 0), MATCH('Output (non-LI)'!$B$55, DRIPE!$J$10:$N$10, 0), 1, 1)),"Data Missing")</f>
        <v>86.081181235321466</v>
      </c>
      <c r="D69" s="17">
        <f ca="1">IFERROR(IF(VALUE(RIGHT($B$55,2))&gt;$A69,0,AVERAGEIFS(Elec_Off_Peak, 'Avoided AC'!$D:$D, $B69, 'Avoided AC'!$E:$E, "Summer") +
        INDEX(AEPS!$S$8:$S$37, MATCH($A69, 'General Inputs'!$F$3:$F$32, 0)) +
        OFFSET(DRIPE!$I$10, MATCH('Output (non-LI)'!$B69, DRIPE!$I$11:$I$30, 0), MATCH('Output (non-LI)'!$B$55, DRIPE!$J$10:$N$10, 0), 1, 1)),"Data Missing")</f>
        <v>52.621174113714616</v>
      </c>
      <c r="E69" s="17">
        <f ca="1">IFERROR(IF(VALUE(RIGHT($B$55,2))&gt;$A69,0,AVERAGEIFS(Elec_On_Peak, 'Avoided AC'!$D:$D, $B69, 'Avoided AC'!$E:$E, "Winter") +
        INDEX(AEPS!$S$8:$S$37, MATCH($A69, 'General Inputs'!$F$3:$F$32, 0)) +
        OFFSET(DRIPE!$I$10, MATCH('Output (non-LI)'!$B69, DRIPE!$I$11:$I$30, 0), MATCH('Output (non-LI)'!$B$55, DRIPE!$J$10:$N$10, 0), 1, 1)),"Data Missing")</f>
        <v>106.26257643562121</v>
      </c>
      <c r="F69" s="17">
        <f ca="1">IFERROR(IF(VALUE(RIGHT($B$55,2))&gt;$A69,0,AVERAGEIFS(Elec_Off_Peak, 'Avoided AC'!$D:$D, $B69, 'Avoided AC'!$E:$E, "Winter") +
        INDEX(AEPS!$S$8:$S$37, MATCH($A69, 'General Inputs'!$F$3:$F$32, 0)) +
        OFFSET(DRIPE!$I$10, MATCH('Output (non-LI)'!$B69, DRIPE!$I$11:$I$30, 0), MATCH('Output (non-LI)'!$B$55, DRIPE!$J$10:$N$10, 0), 1, 1)),"Data Missing")</f>
        <v>86.635878155135345</v>
      </c>
      <c r="G69" s="17">
        <f ca="1">IFERROR(IF(VALUE(RIGHT($B$55,2))&gt;$A69,0,AVERAGEIFS(Elec_On_Peak, 'Avoided AC'!$D:$D, $B69, 'Avoided AC'!$E:$E, "Shoulder") +
        INDEX(AEPS!$S$8:$S$37, MATCH($A69, 'General Inputs'!$F$3:$F$32, 0)) +
        OFFSET(DRIPE!$I$10, MATCH('Output (non-LI)'!$B69, DRIPE!$I$11:$I$30, 0), MATCH('Output (non-LI)'!$B$55, DRIPE!$J$10:$N$10, 0), 1, 1)),"Data Missing")</f>
        <v>73.788927663757889</v>
      </c>
      <c r="H69" s="17">
        <f ca="1">IFERROR(IF(VALUE(RIGHT($B$55,2))&gt;$A69,0,AVERAGEIFS(Elec_Off_Peak, 'Avoided AC'!$D:$D, $B69, 'Avoided AC'!$E:$E, "Shoulder") +
        INDEX(AEPS!$S$8:$S$37, MATCH($A69, 'General Inputs'!$F$3:$F$32, 0)) +
        OFFSET(DRIPE!$I$10, MATCH('Output (non-LI)'!$B69, DRIPE!$I$11:$I$30, 0), MATCH('Output (non-LI)'!$B$55, DRIPE!$J$10:$N$10, 0), 1, 1)),"Data Missing")</f>
        <v>57.149822062089441</v>
      </c>
      <c r="I69" s="17">
        <f ca="1">(IF(VALUE(RIGHT($B$55,2))&gt;$A69,0,INDEX('Generation Capacity'!$E$27:$K$48,MATCH($A69,'Generation Capacity'!$B$27:$B$48,FALSE),MATCH(EDC_NAME,'Generation Capacity'!$E$26:$K$26,FALSE))+
        OFFSET(DRIPE!$B$35,MATCH('Output (non-LI)'!$B69,DRIPE!$B$11:$B$30,0),MATCH('Output (non-LI)'!$B$55,DRIPE!$C$10:$G$10,0),1,1)))</f>
        <v>31.260820928258536</v>
      </c>
      <c r="J69" s="17">
        <f ca="1">(IF(VALUE(RIGHT($B$55,2))&gt;$A69,0,INDEX('Generation Capacity'!$E$27:$K$48,MATCH($A69,'Generation Capacity'!$B$27:$B$48,FALSE),MATCH(EDC_NAME,'Generation Capacity'!$E$26:$K$26,FALSE))+
        OFFSET(DRIPE!$I$35,MATCH('Output (non-LI)'!$B69,DRIPE!$B$11:$B$30,0),MATCH('Output (non-LI)'!$B$55,DRIPE!$C$10:$G$10,0),1,1)))</f>
        <v>31.260820928258536</v>
      </c>
      <c r="K69" s="17">
        <f ca="1">IFERROR(IF(VALUE(RIGHT($B$55,2))&gt;$A69,0,INDEX('T&amp;D Capacity'!$E$4:$K$23,MATCH($A69,'T&amp;D Capacity'!$B$4:$B$23,FALSE),MATCH(EDC_NAME,'T&amp;D Capacity'!$E$3:$K$3,FALSE))),0)</f>
        <v>10.838077656610132</v>
      </c>
      <c r="L69" s="17">
        <f ca="1">IFERROR(IF(VALUE(RIGHT($B$55,2))&gt;$A69,0,INDEX('T&amp;D Capacity'!$E$28:$K$47,MATCH($A69,'T&amp;D Capacity'!$B$28:$B$47,FALSE),MATCH(EDC_NAME,'T&amp;D Capacity'!$E$27:$K$27,FALSE))),0)</f>
        <v>10.838077656610132</v>
      </c>
      <c r="M69" s="17">
        <f ca="1">IFERROR(IF(VALUE(RIGHT($B$55,2))&gt;$A69,0,INDEX('T&amp;D Capacity'!$M$4:$S$23,MATCH($A69,'T&amp;D Capacity'!$B$4:$B$23,FALSE),MATCH(EDC_NAME,'T&amp;D Capacity'!$M$3:$S$3,FALSE))),0)</f>
        <v>70.336490699842841</v>
      </c>
      <c r="N69" s="17">
        <f ca="1">IFERROR(IF(VALUE(RIGHT($B$55,2))&gt;$A69,0,INDEX('T&amp;D Capacity'!$M$28:$S$47,MATCH($A69,'T&amp;D Capacity'!$B$28:$B$47,FALSE),MATCH(EDC_NAME,'T&amp;D Capacity'!$M$27:$S$27,FALSE))),0)</f>
        <v>10.199278428468112</v>
      </c>
      <c r="O69" s="18">
        <f>IFERROR(IF(VALUE(RIGHT($B$55,2))&gt;$A69,0,IFERROR(AVERAGEIF('NG Futures'!$E:$E,$B69,'NG Futures'!$I:$I),"Data Missing")),0)</f>
        <v>4.7349761155534029</v>
      </c>
      <c r="P69" s="323" t="s">
        <v>129</v>
      </c>
    </row>
    <row r="70" spans="1:16" s="50" customFormat="1" ht="15" customHeight="1" x14ac:dyDescent="0.2">
      <c r="A70" s="124">
        <f t="shared" ref="A70:B70" si="29">A69+1</f>
        <v>29</v>
      </c>
      <c r="B70" s="124">
        <f t="shared" si="29"/>
        <v>2038</v>
      </c>
      <c r="C70" s="122">
        <f ca="1">IFERROR(IF(VALUE(RIGHT($B$55,2))&gt;$A70,0,AVERAGEIFS(Elec_On_Peak, 'Avoided AC'!$D:$D, $B70, 'Avoided AC'!$E:$E, "Summer") +
        INDEX(AEPS!$S$8:$S$37, MATCH($A70, 'General Inputs'!$F$3:$F$32, 0)) +
        OFFSET(DRIPE!$I$10, MATCH('Output (non-LI)'!$B70, DRIPE!$I$11:$I$30, 0), MATCH('Output (non-LI)'!$B$55, DRIPE!$J$10:$N$10, 0), 1, 1)),"Data Missing")</f>
        <v>85.471926709319376</v>
      </c>
      <c r="D70" s="17">
        <f ca="1">IFERROR(IF(VALUE(RIGHT($B$55,2))&gt;$A70,0,AVERAGEIFS(Elec_Off_Peak, 'Avoided AC'!$D:$D, $B70, 'Avoided AC'!$E:$E, "Summer") +
        INDEX(AEPS!$S$8:$S$37, MATCH($A70, 'General Inputs'!$F$3:$F$32, 0)) +
        OFFSET(DRIPE!$I$10, MATCH('Output (non-LI)'!$B70, DRIPE!$I$11:$I$30, 0), MATCH('Output (non-LI)'!$B$55, DRIPE!$J$10:$N$10, 0), 1, 1)),"Data Missing")</f>
        <v>52.253857485063904</v>
      </c>
      <c r="E70" s="17">
        <f ca="1">IFERROR(IF(VALUE(RIGHT($B$55,2))&gt;$A70,0,AVERAGEIFS(Elec_On_Peak, 'Avoided AC'!$D:$D, $B70, 'Avoided AC'!$E:$E, "Winter") +
        INDEX(AEPS!$S$8:$S$37, MATCH($A70, 'General Inputs'!$F$3:$F$32, 0)) +
        OFFSET(DRIPE!$I$10, MATCH('Output (non-LI)'!$B70, DRIPE!$I$11:$I$30, 0), MATCH('Output (non-LI)'!$B$55, DRIPE!$J$10:$N$10, 0), 1, 1)),"Data Missing")</f>
        <v>104.53955523637298</v>
      </c>
      <c r="F70" s="17">
        <f ca="1">IFERROR(IF(VALUE(RIGHT($B$55,2))&gt;$A70,0,AVERAGEIFS(Elec_Off_Peak, 'Avoided AC'!$D:$D, $B70, 'Avoided AC'!$E:$E, "Winter") +
        INDEX(AEPS!$S$8:$S$37, MATCH($A70, 'General Inputs'!$F$3:$F$32, 0)) +
        OFFSET(DRIPE!$I$10, MATCH('Output (non-LI)'!$B70, DRIPE!$I$11:$I$30, 0), MATCH('Output (non-LI)'!$B$55, DRIPE!$J$10:$N$10, 0), 1, 1)),"Data Missing")</f>
        <v>85.501546871001608</v>
      </c>
      <c r="G70" s="17">
        <f ca="1">IFERROR(IF(VALUE(RIGHT($B$55,2))&gt;$A70,0,AVERAGEIFS(Elec_On_Peak, 'Avoided AC'!$D:$D, $B70, 'Avoided AC'!$E:$E, "Shoulder") +
        INDEX(AEPS!$S$8:$S$37, MATCH($A70, 'General Inputs'!$F$3:$F$32, 0)) +
        OFFSET(DRIPE!$I$10, MATCH('Output (non-LI)'!$B70, DRIPE!$I$11:$I$30, 0), MATCH('Output (non-LI)'!$B$55, DRIPE!$J$10:$N$10, 0), 1, 1)),"Data Missing")</f>
        <v>73.061660447706672</v>
      </c>
      <c r="H70" s="17">
        <f ca="1">IFERROR(IF(VALUE(RIGHT($B$55,2))&gt;$A70,0,AVERAGEIFS(Elec_Off_Peak, 'Avoided AC'!$D:$D, $B70, 'Avoided AC'!$E:$E, "Shoulder") +
        INDEX(AEPS!$S$8:$S$37, MATCH($A70, 'General Inputs'!$F$3:$F$32, 0)) +
        OFFSET(DRIPE!$I$10, MATCH('Output (non-LI)'!$B70, DRIPE!$I$11:$I$30, 0), MATCH('Output (non-LI)'!$B$55, DRIPE!$J$10:$N$10, 0), 1, 1)),"Data Missing")</f>
        <v>56.701233956229913</v>
      </c>
      <c r="I70" s="17">
        <f ca="1">(IF(VALUE(RIGHT($B$55,2))&gt;$A70,0,INDEX('Generation Capacity'!$E$27:$K$48,MATCH($A70,'Generation Capacity'!$B$27:$B$48,FALSE),MATCH(EDC_NAME,'Generation Capacity'!$E$26:$K$26,FALSE))+
        OFFSET(DRIPE!$B$35,MATCH('Output (non-LI)'!$B70,DRIPE!$B$11:$B$30,0),MATCH('Output (non-LI)'!$B$55,DRIPE!$C$10:$G$10,0),1,1)))</f>
        <v>31.908402391307927</v>
      </c>
      <c r="J70" s="17">
        <f ca="1">(IF(VALUE(RIGHT($B$55,2))&gt;$A70,0,INDEX('Generation Capacity'!$E$27:$K$48,MATCH($A70,'Generation Capacity'!$B$27:$B$48,FALSE),MATCH(EDC_NAME,'Generation Capacity'!$E$26:$K$26,FALSE))+
        OFFSET(DRIPE!$I$35,MATCH('Output (non-LI)'!$B70,DRIPE!$B$11:$B$30,0),MATCH('Output (non-LI)'!$B$55,DRIPE!$C$10:$G$10,0),1,1)))</f>
        <v>31.908402391307927</v>
      </c>
      <c r="K70" s="17">
        <f ca="1">IFERROR(IF(VALUE(RIGHT($B$55,2))&gt;$A70,0,INDEX('T&amp;D Capacity'!$E$4:$K$23,MATCH($A70,'T&amp;D Capacity'!$B$4:$B$23,FALSE),MATCH(EDC_NAME,'T&amp;D Capacity'!$E$3:$K$3,FALSE))),0)</f>
        <v>11.062593135637941</v>
      </c>
      <c r="L70" s="17">
        <f ca="1">IFERROR(IF(VALUE(RIGHT($B$55,2))&gt;$A70,0,INDEX('T&amp;D Capacity'!$E$28:$K$47,MATCH($A70,'T&amp;D Capacity'!$B$28:$B$47,FALSE),MATCH(EDC_NAME,'T&amp;D Capacity'!$E$27:$K$27,FALSE))),0)</f>
        <v>11.062593135637941</v>
      </c>
      <c r="M70" s="17">
        <f ca="1">IFERROR(IF(VALUE(RIGHT($B$55,2))&gt;$A70,0,INDEX('T&amp;D Capacity'!$M$4:$S$23,MATCH($A70,'T&amp;D Capacity'!$B$4:$B$23,FALSE),MATCH(EDC_NAME,'T&amp;D Capacity'!$M$3:$S$3,FALSE))),0)</f>
        <v>71.793541608956687</v>
      </c>
      <c r="N70" s="17">
        <f ca="1">IFERROR(IF(VALUE(RIGHT($B$55,2))&gt;$A70,0,INDEX('T&amp;D Capacity'!$M$28:$S$47,MATCH($A70,'T&amp;D Capacity'!$B$28:$B$47,FALSE),MATCH(EDC_NAME,'T&amp;D Capacity'!$M$27:$S$27,FALSE))),0)</f>
        <v>10.410560904443814</v>
      </c>
      <c r="O70" s="18">
        <f>IFERROR(IF(VALUE(RIGHT($B$55,2))&gt;$A70,0,IFERROR(AVERAGEIF('NG Futures'!$E:$E,$B70,'NG Futures'!$I:$I),"Data Missing")),0)</f>
        <v>4.6357120000208072</v>
      </c>
      <c r="P70" s="324"/>
    </row>
    <row r="71" spans="1:16" s="50" customFormat="1" ht="15" customHeight="1" x14ac:dyDescent="0.2">
      <c r="A71" s="124">
        <f t="shared" ref="A71:B71" si="30">A70+1</f>
        <v>30</v>
      </c>
      <c r="B71" s="124">
        <f t="shared" si="30"/>
        <v>2039</v>
      </c>
      <c r="C71" s="122">
        <f ca="1">IFERROR(IF(VALUE(RIGHT($B$55,2))&gt;$A71,0,AVERAGEIFS(Elec_On_Peak, 'Avoided AC'!$D:$D, $B71, 'Avoided AC'!$E:$E, "Summer") +
        INDEX(AEPS!$S$8:$S$37, MATCH($A71, 'General Inputs'!$F$3:$F$32, 0)) +
        OFFSET(DRIPE!$I$10, MATCH('Output (non-LI)'!$B71, DRIPE!$I$11:$I$30, 0), MATCH('Output (non-LI)'!$B$55, DRIPE!$J$10:$N$10, 0), 1, 1)),"Data Missing")</f>
        <v>85.054189195315658</v>
      </c>
      <c r="D71" s="17">
        <f ca="1">IFERROR(IF(VALUE(RIGHT($B$55,2))&gt;$A71,0,AVERAGEIFS(Elec_Off_Peak, 'Avoided AC'!$D:$D, $B71, 'Avoided AC'!$E:$E, "Summer") +
        INDEX(AEPS!$S$8:$S$37, MATCH($A71, 'General Inputs'!$F$3:$F$32, 0)) +
        OFFSET(DRIPE!$I$10, MATCH('Output (non-LI)'!$B71, DRIPE!$I$11:$I$30, 0), MATCH('Output (non-LI)'!$B$55, DRIPE!$J$10:$N$10, 0), 1, 1)),"Data Missing")</f>
        <v>52.019477494894559</v>
      </c>
      <c r="E71" s="17">
        <f ca="1">IFERROR(IF(VALUE(RIGHT($B$55,2))&gt;$A71,0,AVERAGEIFS(Elec_On_Peak, 'Avoided AC'!$D:$D, $B71, 'Avoided AC'!$E:$E, "Winter") +
        INDEX(AEPS!$S$8:$S$37, MATCH($A71, 'General Inputs'!$F$3:$F$32, 0)) +
        OFFSET(DRIPE!$I$10, MATCH('Output (non-LI)'!$B71, DRIPE!$I$11:$I$30, 0), MATCH('Output (non-LI)'!$B$55, DRIPE!$J$10:$N$10, 0), 1, 1)),"Data Missing")</f>
        <v>103.2777271455256</v>
      </c>
      <c r="F71" s="17">
        <f ca="1">IFERROR(IF(VALUE(RIGHT($B$55,2))&gt;$A71,0,AVERAGEIFS(Elec_Off_Peak, 'Avoided AC'!$D:$D, $B71, 'Avoided AC'!$E:$E, "Winter") +
        INDEX(AEPS!$S$8:$S$37, MATCH($A71, 'General Inputs'!$F$3:$F$32, 0)) +
        OFFSET(DRIPE!$I$10, MATCH('Output (non-LI)'!$B71, DRIPE!$I$11:$I$30, 0), MATCH('Output (non-LI)'!$B$55, DRIPE!$J$10:$N$10, 0), 1, 1)),"Data Missing")</f>
        <v>84.68586932673395</v>
      </c>
      <c r="G71" s="17">
        <f ca="1">IFERROR(IF(VALUE(RIGHT($B$55,2))&gt;$A71,0,AVERAGEIFS(Elec_On_Peak, 'Avoided AC'!$D:$D, $B71, 'Avoided AC'!$E:$E, "Shoulder") +
        INDEX(AEPS!$S$8:$S$37, MATCH($A71, 'General Inputs'!$F$3:$F$32, 0)) +
        OFFSET(DRIPE!$I$10, MATCH('Output (non-LI)'!$B71, DRIPE!$I$11:$I$30, 0), MATCH('Output (non-LI)'!$B$55, DRIPE!$J$10:$N$10, 0), 1, 1)),"Data Missing")</f>
        <v>72.554484632116768</v>
      </c>
      <c r="H71" s="17">
        <f ca="1">IFERROR(IF(VALUE(RIGHT($B$55,2))&gt;$A71,0,AVERAGEIFS(Elec_Off_Peak, 'Avoided AC'!$D:$D, $B71, 'Avoided AC'!$E:$E, "Shoulder") +
        INDEX(AEPS!$S$8:$S$37, MATCH($A71, 'General Inputs'!$F$3:$F$32, 0)) +
        OFFSET(DRIPE!$I$10, MATCH('Output (non-LI)'!$B71, DRIPE!$I$11:$I$30, 0), MATCH('Output (non-LI)'!$B$55, DRIPE!$J$10:$N$10, 0), 1, 1)),"Data Missing")</f>
        <v>56.405260734977276</v>
      </c>
      <c r="I71" s="17">
        <f ca="1">(IF(VALUE(RIGHT($B$55,2))&gt;$A71,0,INDEX('Generation Capacity'!$E$27:$K$48,MATCH($A71,'Generation Capacity'!$B$27:$B$48,FALSE),MATCH(EDC_NAME,'Generation Capacity'!$E$26:$K$26,FALSE))+
        OFFSET(DRIPE!$B$35,MATCH('Output (non-LI)'!$B71,DRIPE!$B$11:$B$30,0),MATCH('Output (non-LI)'!$B$55,DRIPE!$C$10:$G$10,0),1,1)))</f>
        <v>32.569398785214304</v>
      </c>
      <c r="J71" s="17">
        <f ca="1">(IF(VALUE(RIGHT($B$55,2))&gt;$A71,0,INDEX('Generation Capacity'!$E$27:$K$48,MATCH($A71,'Generation Capacity'!$B$27:$B$48,FALSE),MATCH(EDC_NAME,'Generation Capacity'!$E$26:$K$26,FALSE))+
        OFFSET(DRIPE!$I$35,MATCH('Output (non-LI)'!$B71,DRIPE!$B$11:$B$30,0),MATCH('Output (non-LI)'!$B$55,DRIPE!$C$10:$G$10,0),1,1)))</f>
        <v>32.569398785214304</v>
      </c>
      <c r="K71" s="17">
        <f ca="1">IFERROR(IF(VALUE(RIGHT($B$55,2))&gt;$A71,0,INDEX('T&amp;D Capacity'!$E$4:$K$23,MATCH($A71,'T&amp;D Capacity'!$B$4:$B$23,FALSE),MATCH(EDC_NAME,'T&amp;D Capacity'!$E$3:$K$3,FALSE))),0)</f>
        <v>11.291759550184038</v>
      </c>
      <c r="L71" s="17">
        <f ca="1">IFERROR(IF(VALUE(RIGHT($B$55,2))&gt;$A71,0,INDEX('T&amp;D Capacity'!$E$28:$K$47,MATCH($A71,'T&amp;D Capacity'!$B$28:$B$47,FALSE),MATCH(EDC_NAME,'T&amp;D Capacity'!$E$27:$K$27,FALSE))),0)</f>
        <v>11.291759550184038</v>
      </c>
      <c r="M71" s="17">
        <f ca="1">IFERROR(IF(VALUE(RIGHT($B$55,2))&gt;$A71,0,INDEX('T&amp;D Capacity'!$M$4:$S$23,MATCH($A71,'T&amp;D Capacity'!$B$4:$B$23,FALSE),MATCH(EDC_NAME,'T&amp;D Capacity'!$M$3:$S$3,FALSE))),0)</f>
        <v>73.280775959561936</v>
      </c>
      <c r="N71" s="17">
        <f ca="1">IFERROR(IF(VALUE(RIGHT($B$55,2))&gt;$A71,0,INDEX('T&amp;D Capacity'!$M$28:$S$47,MATCH($A71,'T&amp;D Capacity'!$B$28:$B$47,FALSE),MATCH(EDC_NAME,'T&amp;D Capacity'!$M$27:$S$27,FALSE))),0)</f>
        <v>10.626220188540552</v>
      </c>
      <c r="O71" s="18">
        <f>IFERROR(IF(VALUE(RIGHT($B$55,2))&gt;$A71,0,IFERROR(AVERAGEIF('NG Futures'!$E:$E,$B71,'NG Futures'!$I:$I),"Data Missing")),0)</f>
        <v>4.5604826844447048</v>
      </c>
      <c r="P71" s="324"/>
    </row>
    <row r="72" spans="1:16" s="50" customFormat="1" ht="15" customHeight="1" x14ac:dyDescent="0.2">
      <c r="A72" s="124">
        <f t="shared" ref="A72:B72" si="31">A71+1</f>
        <v>31</v>
      </c>
      <c r="B72" s="124">
        <f t="shared" si="31"/>
        <v>2040</v>
      </c>
      <c r="C72" s="122">
        <f ca="1">IFERROR(IF(VALUE(RIGHT($B$55,2))&gt;$A72,0,AVERAGEIFS(Elec_On_Peak, 'Avoided AC'!$D:$D, $B72, 'Avoided AC'!$E:$E, "Summer") +
        INDEX(AEPS!$S$8:$S$37, MATCH($A72, 'General Inputs'!$F$3:$F$32, 0)) +
        OFFSET(DRIPE!$I$10, MATCH('Output (non-LI)'!$B72, DRIPE!$I$11:$I$30, 0), MATCH('Output (non-LI)'!$B$55, DRIPE!$J$10:$N$10, 0), 1, 1)),"Data Missing")</f>
        <v>85.479707682739601</v>
      </c>
      <c r="D72" s="17">
        <f ca="1">IFERROR(IF(VALUE(RIGHT($B$55,2))&gt;$A72,0,AVERAGEIFS(Elec_Off_Peak, 'Avoided AC'!$D:$D, $B72, 'Avoided AC'!$E:$E, "Summer") +
        INDEX(AEPS!$S$8:$S$37, MATCH($A72, 'General Inputs'!$F$3:$F$32, 0)) +
        OFFSET(DRIPE!$I$10, MATCH('Output (non-LI)'!$B72, DRIPE!$I$11:$I$30, 0), MATCH('Output (non-LI)'!$B$55, DRIPE!$J$10:$N$10, 0), 1, 1)),"Data Missing")</f>
        <v>52.366886357321818</v>
      </c>
      <c r="E72" s="17">
        <f ca="1">IFERROR(IF(VALUE(RIGHT($B$55,2))&gt;$A72,0,AVERAGEIFS(Elec_On_Peak, 'Avoided AC'!$D:$D, $B72, 'Avoided AC'!$E:$E, "Winter") +
        INDEX(AEPS!$S$8:$S$37, MATCH($A72, 'General Inputs'!$F$3:$F$32, 0)) +
        OFFSET(DRIPE!$I$10, MATCH('Output (non-LI)'!$B72, DRIPE!$I$11:$I$30, 0), MATCH('Output (non-LI)'!$B$55, DRIPE!$J$10:$N$10, 0), 1, 1)),"Data Missing")</f>
        <v>104.0628250875676</v>
      </c>
      <c r="F72" s="17">
        <f ca="1">IFERROR(IF(VALUE(RIGHT($B$55,2))&gt;$A72,0,AVERAGEIFS(Elec_Off_Peak, 'Avoided AC'!$D:$D, $B72, 'Avoided AC'!$E:$E, "Winter") +
        INDEX(AEPS!$S$8:$S$37, MATCH($A72, 'General Inputs'!$F$3:$F$32, 0)) +
        OFFSET(DRIPE!$I$10, MATCH('Output (non-LI)'!$B72, DRIPE!$I$11:$I$30, 0), MATCH('Output (non-LI)'!$B$55, DRIPE!$J$10:$N$10, 0), 1, 1)),"Data Missing")</f>
        <v>85.280908790909052</v>
      </c>
      <c r="G72" s="17">
        <f ca="1">IFERROR(IF(VALUE(RIGHT($B$55,2))&gt;$A72,0,AVERAGEIFS(Elec_On_Peak, 'Avoided AC'!$D:$D, $B72, 'Avoided AC'!$E:$E, "Shoulder") +
        INDEX(AEPS!$S$8:$S$37, MATCH($A72, 'General Inputs'!$F$3:$F$32, 0)) +
        OFFSET(DRIPE!$I$10, MATCH('Output (non-LI)'!$B72, DRIPE!$I$11:$I$30, 0), MATCH('Output (non-LI)'!$B$55, DRIPE!$J$10:$N$10, 0), 1, 1)),"Data Missing")</f>
        <v>73.018103504248913</v>
      </c>
      <c r="H72" s="17">
        <f ca="1">IFERROR(IF(VALUE(RIGHT($B$55,2))&gt;$A72,0,AVERAGEIFS(Elec_Off_Peak, 'Avoided AC'!$D:$D, $B72, 'Avoided AC'!$E:$E, "Shoulder") +
        INDEX(AEPS!$S$8:$S$37, MATCH($A72, 'General Inputs'!$F$3:$F$32, 0)) +
        OFFSET(DRIPE!$I$10, MATCH('Output (non-LI)'!$B72, DRIPE!$I$11:$I$30, 0), MATCH('Output (non-LI)'!$B$55, DRIPE!$J$10:$N$10, 0), 1, 1)),"Data Missing")</f>
        <v>56.778908085368613</v>
      </c>
      <c r="I72" s="17">
        <f ca="1">(IF(VALUE(RIGHT($B$55,2))&gt;$A72,0,INDEX('Generation Capacity'!$E$27:$K$48,MATCH($A72,'Generation Capacity'!$B$27:$B$48,FALSE),MATCH(EDC_NAME,'Generation Capacity'!$E$26:$K$26,FALSE))+
        OFFSET(DRIPE!$B$35,MATCH('Output (non-LI)'!$B72,DRIPE!$B$11:$B$30,0),MATCH('Output (non-LI)'!$B$55,DRIPE!$C$10:$G$10,0),1,1)))</f>
        <v>33.244088006088298</v>
      </c>
      <c r="J72" s="17">
        <f ca="1">(IF(VALUE(RIGHT($B$55,2))&gt;$A72,0,INDEX('Generation Capacity'!$E$27:$K$48,MATCH($A72,'Generation Capacity'!$B$27:$B$48,FALSE),MATCH(EDC_NAME,'Generation Capacity'!$E$26:$K$26,FALSE))+
        OFFSET(DRIPE!$I$35,MATCH('Output (non-LI)'!$B72,DRIPE!$B$11:$B$30,0),MATCH('Output (non-LI)'!$B$55,DRIPE!$C$10:$G$10,0),1,1)))</f>
        <v>33.244088006088298</v>
      </c>
      <c r="K72" s="17">
        <f ca="1">IFERROR(IF(VALUE(RIGHT($B$55,2))&gt;$A72,0,INDEX('T&amp;D Capacity'!$E$4:$K$23,MATCH($A72,'T&amp;D Capacity'!$B$4:$B$23,FALSE),MATCH(EDC_NAME,'T&amp;D Capacity'!$E$3:$K$3,FALSE))),0)</f>
        <v>11.525673246394749</v>
      </c>
      <c r="L72" s="17">
        <f ca="1">IFERROR(IF(VALUE(RIGHT($B$55,2))&gt;$A72,0,INDEX('T&amp;D Capacity'!$E$28:$K$47,MATCH($A72,'T&amp;D Capacity'!$B$28:$B$47,FALSE),MATCH(EDC_NAME,'T&amp;D Capacity'!$E$27:$K$27,FALSE))),0)</f>
        <v>11.525673246394749</v>
      </c>
      <c r="M72" s="17">
        <f ca="1">IFERROR(IF(VALUE(RIGHT($B$55,2))&gt;$A72,0,INDEX('T&amp;D Capacity'!$M$4:$S$23,MATCH($A72,'T&amp;D Capacity'!$B$4:$B$23,FALSE),MATCH(EDC_NAME,'T&amp;D Capacity'!$M$3:$S$3,FALSE))),0)</f>
        <v>74.798819014739365</v>
      </c>
      <c r="N72" s="17">
        <f ca="1">IFERROR(IF(VALUE(RIGHT($B$55,2))&gt;$A72,0,INDEX('T&amp;D Capacity'!$M$28:$S$47,MATCH($A72,'T&amp;D Capacity'!$B$28:$B$47,FALSE),MATCH(EDC_NAME,'T&amp;D Capacity'!$M$27:$S$27,FALSE))),0)</f>
        <v>10.846346948236732</v>
      </c>
      <c r="O72" s="18">
        <f>IFERROR(IF(VALUE(RIGHT($B$55,2))&gt;$A72,0,IFERROR(AVERAGEIF('NG Futures'!$E:$E,$B72,'NG Futures'!$I:$I),"Data Missing")),0)</f>
        <v>4.5925300938202467</v>
      </c>
      <c r="P72" s="324"/>
    </row>
    <row r="73" spans="1:16" s="50" customFormat="1" ht="15" customHeight="1" x14ac:dyDescent="0.2">
      <c r="A73" s="124">
        <f t="shared" ref="A73:B73" si="32">A72+1</f>
        <v>32</v>
      </c>
      <c r="B73" s="124">
        <f t="shared" si="32"/>
        <v>2041</v>
      </c>
      <c r="C73" s="122">
        <f ca="1">IFERROR(IF(VALUE(RIGHT($B$55,2))&gt;$A73,0,AVERAGEIFS(Elec_On_Peak, 'Avoided AC'!$D:$D, $B73, 'Avoided AC'!$E:$E, "Summer") +
        INDEX(AEPS!$S$8:$S$37, MATCH($A73, 'General Inputs'!$F$3:$F$32, 0)) +
        OFFSET(DRIPE!$I$10, MATCH('Output (non-LI)'!$B73, DRIPE!$I$11:$I$30, 0), MATCH('Output (non-LI)'!$B$55, DRIPE!$J$10:$N$10, 0), 1, 1)),"Data Missing")</f>
        <v>86.797941778981851</v>
      </c>
      <c r="D73" s="17">
        <f ca="1">IFERROR(IF(VALUE(RIGHT($B$55,2))&gt;$A73,0,AVERAGEIFS(Elec_Off_Peak, 'Avoided AC'!$D:$D, $B73, 'Avoided AC'!$E:$E, "Summer") +
        INDEX(AEPS!$S$8:$S$37, MATCH($A73, 'General Inputs'!$F$3:$F$32, 0)) +
        OFFSET(DRIPE!$I$10, MATCH('Output (non-LI)'!$B73, DRIPE!$I$11:$I$30, 0), MATCH('Output (non-LI)'!$B$55, DRIPE!$J$10:$N$10, 0), 1, 1)),"Data Missing")</f>
        <v>53.330166606061503</v>
      </c>
      <c r="E73" s="17">
        <f ca="1">IFERROR(IF(VALUE(RIGHT($B$55,2))&gt;$A73,0,AVERAGEIFS(Elec_On_Peak, 'Avoided AC'!$D:$D, $B73, 'Avoided AC'!$E:$E, "Winter") +
        INDEX(AEPS!$S$8:$S$37, MATCH($A73, 'General Inputs'!$F$3:$F$32, 0)) +
        OFFSET(DRIPE!$I$10, MATCH('Output (non-LI)'!$B73, DRIPE!$I$11:$I$30, 0), MATCH('Output (non-LI)'!$B$55, DRIPE!$J$10:$N$10, 0), 1, 1)),"Data Missing")</f>
        <v>107.01509738211125</v>
      </c>
      <c r="F73" s="17">
        <f ca="1">IFERROR(IF(VALUE(RIGHT($B$55,2))&gt;$A73,0,AVERAGEIFS(Elec_Off_Peak, 'Avoided AC'!$D:$D, $B73, 'Avoided AC'!$E:$E, "Winter") +
        INDEX(AEPS!$S$8:$S$37, MATCH($A73, 'General Inputs'!$F$3:$F$32, 0)) +
        OFFSET(DRIPE!$I$10, MATCH('Output (non-LI)'!$B73, DRIPE!$I$11:$I$30, 0), MATCH('Output (non-LI)'!$B$55, DRIPE!$J$10:$N$10, 0), 1, 1)),"Data Missing")</f>
        <v>87.369497666511606</v>
      </c>
      <c r="G73" s="17">
        <f ca="1">IFERROR(IF(VALUE(RIGHT($B$55,2))&gt;$A73,0,AVERAGEIFS(Elec_On_Peak, 'Avoided AC'!$D:$D, $B73, 'Avoided AC'!$E:$E, "Shoulder") +
        INDEX(AEPS!$S$8:$S$37, MATCH($A73, 'General Inputs'!$F$3:$F$32, 0)) +
        OFFSET(DRIPE!$I$10, MATCH('Output (non-LI)'!$B73, DRIPE!$I$11:$I$30, 0), MATCH('Output (non-LI)'!$B$55, DRIPE!$J$10:$N$10, 0), 1, 1)),"Data Missing")</f>
        <v>74.509477314631226</v>
      </c>
      <c r="H73" s="17">
        <f ca="1">IFERROR(IF(VALUE(RIGHT($B$55,2))&gt;$A73,0,AVERAGEIFS(Elec_Off_Peak, 'Avoided AC'!$D:$D, $B73, 'Avoided AC'!$E:$E, "Shoulder") +
        INDEX(AEPS!$S$8:$S$37, MATCH($A73, 'General Inputs'!$F$3:$F$32, 0)) +
        OFFSET(DRIPE!$I$10, MATCH('Output (non-LI)'!$B73, DRIPE!$I$11:$I$30, 0), MATCH('Output (non-LI)'!$B$55, DRIPE!$J$10:$N$10, 0), 1, 1)),"Data Missing")</f>
        <v>57.861423988560503</v>
      </c>
      <c r="I73" s="17">
        <f ca="1">(IF(VALUE(RIGHT($B$55,2))&gt;$A73,0,INDEX('Generation Capacity'!$E$27:$K$48,MATCH($A73,'Generation Capacity'!$B$27:$B$48,FALSE),MATCH(EDC_NAME,'Generation Capacity'!$E$26:$K$26,FALSE))+
        OFFSET(DRIPE!$B$35,MATCH('Output (non-LI)'!$B73,DRIPE!$B$11:$B$30,0),MATCH('Output (non-LI)'!$B$55,DRIPE!$C$10:$G$10,0),1,1)))</f>
        <v>33.932753706778989</v>
      </c>
      <c r="J73" s="17">
        <f ca="1">(IF(VALUE(RIGHT($B$55,2))&gt;$A73,0,INDEX('Generation Capacity'!$E$27:$K$48,MATCH($A73,'Generation Capacity'!$B$27:$B$48,FALSE),MATCH(EDC_NAME,'Generation Capacity'!$E$26:$K$26,FALSE))+
        OFFSET(DRIPE!$I$35,MATCH('Output (non-LI)'!$B73,DRIPE!$B$11:$B$30,0),MATCH('Output (non-LI)'!$B$55,DRIPE!$C$10:$G$10,0),1,1)))</f>
        <v>33.932753706778989</v>
      </c>
      <c r="K73" s="17">
        <f ca="1">IFERROR(IF(VALUE(RIGHT($B$55,2))&gt;$A73,0,INDEX('T&amp;D Capacity'!$E$4:$K$23,MATCH($A73,'T&amp;D Capacity'!$B$4:$B$23,FALSE),MATCH(EDC_NAME,'T&amp;D Capacity'!$E$3:$K$3,FALSE))),0)</f>
        <v>11.76443256626861</v>
      </c>
      <c r="L73" s="17">
        <f ca="1">IFERROR(IF(VALUE(RIGHT($B$55,2))&gt;$A73,0,INDEX('T&amp;D Capacity'!$E$28:$K$47,MATCH($A73,'T&amp;D Capacity'!$B$28:$B$47,FALSE),MATCH(EDC_NAME,'T&amp;D Capacity'!$E$27:$K$27,FALSE))),0)</f>
        <v>11.76443256626861</v>
      </c>
      <c r="M73" s="17">
        <f ca="1">IFERROR(IF(VALUE(RIGHT($B$55,2))&gt;$A73,0,INDEX('T&amp;D Capacity'!$M$4:$S$23,MATCH($A73,'T&amp;D Capacity'!$B$4:$B$23,FALSE),MATCH(EDC_NAME,'T&amp;D Capacity'!$M$3:$S$3,FALSE))),0)</f>
        <v>76.34830899016562</v>
      </c>
      <c r="N73" s="17">
        <f ca="1">IFERROR(IF(VALUE(RIGHT($B$55,2))&gt;$A73,0,INDEX('T&amp;D Capacity'!$M$28:$S$47,MATCH($A73,'T&amp;D Capacity'!$B$28:$B$47,FALSE),MATCH(EDC_NAME,'T&amp;D Capacity'!$M$27:$S$27,FALSE))),0)</f>
        <v>11.071033729226899</v>
      </c>
      <c r="O73" s="18">
        <f>IFERROR(IF(VALUE(RIGHT($B$55,2))&gt;$A73,0,IFERROR(AVERAGEIF('NG Futures'!$E:$E,$B73,'NG Futures'!$I:$I),"Data Missing")),0)</f>
        <v>4.7381632505640319</v>
      </c>
      <c r="P73" s="324"/>
    </row>
    <row r="74" spans="1:16" s="50" customFormat="1" ht="15" customHeight="1" x14ac:dyDescent="0.2">
      <c r="A74" s="124">
        <f t="shared" ref="A74:B74" si="33">A73+1</f>
        <v>33</v>
      </c>
      <c r="B74" s="124">
        <f t="shared" si="33"/>
        <v>2042</v>
      </c>
      <c r="C74" s="122">
        <f ca="1">IFERROR(IF(VALUE(RIGHT($B$55,2))&gt;$A74,0,AVERAGEIFS(Elec_On_Peak, 'Avoided AC'!$D:$D, $B74, 'Avoided AC'!$E:$E, "Summer") +
        INDEX(AEPS!$S$8:$S$37, MATCH($A74, 'General Inputs'!$F$3:$F$32, 0)) +
        OFFSET(DRIPE!$I$10, MATCH('Output (non-LI)'!$B74, DRIPE!$I$11:$I$30, 0), MATCH('Output (non-LI)'!$B$55, DRIPE!$J$10:$N$10, 0), 1, 1)),"Data Missing")</f>
        <v>88.253494372988698</v>
      </c>
      <c r="D74" s="17">
        <f ca="1">IFERROR(IF(VALUE(RIGHT($B$55,2))&gt;$A74,0,AVERAGEIFS(Elec_Off_Peak, 'Avoided AC'!$D:$D, $B74, 'Avoided AC'!$E:$E, "Summer") +
        INDEX(AEPS!$S$8:$S$37, MATCH($A74, 'General Inputs'!$F$3:$F$32, 0)) +
        OFFSET(DRIPE!$I$10, MATCH('Output (non-LI)'!$B74, DRIPE!$I$11:$I$30, 0), MATCH('Output (non-LI)'!$B$55, DRIPE!$J$10:$N$10, 0), 1, 1)),"Data Missing")</f>
        <v>54.389122721346112</v>
      </c>
      <c r="E74" s="17">
        <f ca="1">IFERROR(IF(VALUE(RIGHT($B$55,2))&gt;$A74,0,AVERAGEIFS(Elec_On_Peak, 'Avoided AC'!$D:$D, $B74, 'Avoided AC'!$E:$E, "Winter") +
        INDEX(AEPS!$S$8:$S$37, MATCH($A74, 'General Inputs'!$F$3:$F$32, 0)) +
        OFFSET(DRIPE!$I$10, MATCH('Output (non-LI)'!$B74, DRIPE!$I$11:$I$30, 0), MATCH('Output (non-LI)'!$B$55, DRIPE!$J$10:$N$10, 0), 1, 1)),"Data Missing")</f>
        <v>110.29639098471289</v>
      </c>
      <c r="F74" s="17">
        <f ca="1">IFERROR(IF(VALUE(RIGHT($B$55,2))&gt;$A74,0,AVERAGEIFS(Elec_Off_Peak, 'Avoided AC'!$D:$D, $B74, 'Avoided AC'!$E:$E, "Winter") +
        INDEX(AEPS!$S$8:$S$37, MATCH($A74, 'General Inputs'!$F$3:$F$32, 0)) +
        OFFSET(DRIPE!$I$10, MATCH('Output (non-LI)'!$B74, DRIPE!$I$11:$I$30, 0), MATCH('Output (non-LI)'!$B$55, DRIPE!$J$10:$N$10, 0), 1, 1)),"Data Missing")</f>
        <v>89.685781859881985</v>
      </c>
      <c r="G74" s="17">
        <f ca="1">IFERROR(IF(VALUE(RIGHT($B$55,2))&gt;$A74,0,AVERAGEIFS(Elec_On_Peak, 'Avoided AC'!$D:$D, $B74, 'Avoided AC'!$E:$E, "Shoulder") +
        INDEX(AEPS!$S$8:$S$37, MATCH($A74, 'General Inputs'!$F$3:$F$32, 0)) +
        OFFSET(DRIPE!$I$10, MATCH('Output (non-LI)'!$B74, DRIPE!$I$11:$I$30, 0), MATCH('Output (non-LI)'!$B$55, DRIPE!$J$10:$N$10, 0), 1, 1)),"Data Missing")</f>
        <v>76.158482103727863</v>
      </c>
      <c r="H74" s="17">
        <f ca="1">IFERROR(IF(VALUE(RIGHT($B$55,2))&gt;$A74,0,AVERAGEIFS(Elec_Off_Peak, 'Avoided AC'!$D:$D, $B74, 'Avoided AC'!$E:$E, "Shoulder") +
        INDEX(AEPS!$S$8:$S$37, MATCH($A74, 'General Inputs'!$F$3:$F$32, 0)) +
        OFFSET(DRIPE!$I$10, MATCH('Output (non-LI)'!$B74, DRIPE!$I$11:$I$30, 0), MATCH('Output (non-LI)'!$B$55, DRIPE!$J$10:$N$10, 0), 1, 1)),"Data Missing")</f>
        <v>59.053604299121794</v>
      </c>
      <c r="I74" s="17">
        <f ca="1">(IF(VALUE(RIGHT($B$55,2))&gt;$A74,0,INDEX('Generation Capacity'!$E$27:$K$48,MATCH($A74,'Generation Capacity'!$B$27:$B$48,FALSE),MATCH(EDC_NAME,'Generation Capacity'!$E$26:$K$26,FALSE))+
        OFFSET(DRIPE!$B$35,MATCH('Output (non-LI)'!$B74,DRIPE!$B$11:$B$30,0),MATCH('Output (non-LI)'!$B$55,DRIPE!$C$10:$G$10,0),1,1)))</f>
        <v>34.635685416127252</v>
      </c>
      <c r="J74" s="17">
        <f ca="1">(IF(VALUE(RIGHT($B$55,2))&gt;$A74,0,INDEX('Generation Capacity'!$E$27:$K$48,MATCH($A74,'Generation Capacity'!$B$27:$B$48,FALSE),MATCH(EDC_NAME,'Generation Capacity'!$E$26:$K$26,FALSE))+
        OFFSET(DRIPE!$I$35,MATCH('Output (non-LI)'!$B74,DRIPE!$B$11:$B$30,0),MATCH('Output (non-LI)'!$B$55,DRIPE!$C$10:$G$10,0),1,1)))</f>
        <v>34.635685416127252</v>
      </c>
      <c r="K74" s="17">
        <f ca="1">IFERROR(IF(VALUE(RIGHT($B$55,2))&gt;$A74,0,INDEX('T&amp;D Capacity'!$E$4:$K$23,MATCH($A74,'T&amp;D Capacity'!$B$4:$B$23,FALSE),MATCH(EDC_NAME,'T&amp;D Capacity'!$E$3:$K$3,FALSE))),0)</f>
        <v>12.008137889001302</v>
      </c>
      <c r="L74" s="17">
        <f ca="1">IFERROR(IF(VALUE(RIGHT($B$55,2))&gt;$A74,0,INDEX('T&amp;D Capacity'!$E$28:$K$47,MATCH($A74,'T&amp;D Capacity'!$B$28:$B$47,FALSE),MATCH(EDC_NAME,'T&amp;D Capacity'!$E$27:$K$27,FALSE))),0)</f>
        <v>12.008137889001302</v>
      </c>
      <c r="M74" s="17">
        <f ca="1">IFERROR(IF(VALUE(RIGHT($B$55,2))&gt;$A74,0,INDEX('T&amp;D Capacity'!$M$4:$S$23,MATCH($A74,'T&amp;D Capacity'!$B$4:$B$23,FALSE),MATCH(EDC_NAME,'T&amp;D Capacity'!$M$3:$S$3,FALSE))),0)</f>
        <v>77.929897322431884</v>
      </c>
      <c r="N74" s="17">
        <f ca="1">IFERROR(IF(VALUE(RIGHT($B$55,2))&gt;$A74,0,INDEX('T&amp;D Capacity'!$M$28:$S$47,MATCH($A74,'T&amp;D Capacity'!$B$28:$B$47,FALSE),MATCH(EDC_NAME,'T&amp;D Capacity'!$M$27:$S$27,FALSE))),0)</f>
        <v>11.300374994329797</v>
      </c>
      <c r="O74" s="18">
        <f>IFERROR(IF(VALUE(RIGHT($B$55,2))&gt;$A74,0,IFERROR(AVERAGEIF('NG Futures'!$E:$E,$B74,'NG Futures'!$I:$I),"Data Missing")),0)</f>
        <v>4.9008818618881964</v>
      </c>
      <c r="P74" s="324"/>
    </row>
    <row r="75" spans="1:16" s="50" customFormat="1" ht="15" customHeight="1" x14ac:dyDescent="0.2">
      <c r="A75" s="124">
        <f t="shared" ref="A75:B75" si="34">A74+1</f>
        <v>34</v>
      </c>
      <c r="B75" s="124">
        <f t="shared" si="34"/>
        <v>2043</v>
      </c>
      <c r="C75" s="122">
        <f ca="1">IFERROR(IF(VALUE(RIGHT($B$55,2))&gt;$A75,0,AVERAGEIFS(Elec_On_Peak, 'Avoided AC'!$D:$D, $B75, 'Avoided AC'!$E:$E, "Summer") +
        INDEX(AEPS!$S$8:$S$37, MATCH($A75, 'General Inputs'!$F$3:$F$32, 0)) +
        OFFSET(DRIPE!$I$10, MATCH('Output (non-LI)'!$B75, DRIPE!$I$11:$I$30, 0), MATCH('Output (non-LI)'!$B$55, DRIPE!$J$10:$N$10, 0), 1, 1)),"Data Missing")</f>
        <v>89.750447311801722</v>
      </c>
      <c r="D75" s="17">
        <f ca="1">IFERROR(IF(VALUE(RIGHT($B$55,2))&gt;$A75,0,AVERAGEIFS(Elec_Off_Peak, 'Avoided AC'!$D:$D, $B75, 'Avoided AC'!$E:$E, "Summer") +
        INDEX(AEPS!$S$8:$S$37, MATCH($A75, 'General Inputs'!$F$3:$F$32, 0)) +
        OFFSET(DRIPE!$I$10, MATCH('Output (non-LI)'!$B75, DRIPE!$I$11:$I$30, 0), MATCH('Output (non-LI)'!$B$55, DRIPE!$J$10:$N$10, 0), 1, 1)),"Data Missing")</f>
        <v>55.47772119275929</v>
      </c>
      <c r="E75" s="17">
        <f ca="1">IFERROR(IF(VALUE(RIGHT($B$55,2))&gt;$A75,0,AVERAGEIFS(Elec_On_Peak, 'Avoided AC'!$D:$D, $B75, 'Avoided AC'!$E:$E, "Winter") +
        INDEX(AEPS!$S$8:$S$37, MATCH($A75, 'General Inputs'!$F$3:$F$32, 0)) +
        OFFSET(DRIPE!$I$10, MATCH('Output (non-LI)'!$B75, DRIPE!$I$11:$I$30, 0), MATCH('Output (non-LI)'!$B$55, DRIPE!$J$10:$N$10, 0), 1, 1)),"Data Missing")</f>
        <v>113.6732131033452</v>
      </c>
      <c r="F75" s="17">
        <f ca="1">IFERROR(IF(VALUE(RIGHT($B$55,2))&gt;$A75,0,AVERAGEIFS(Elec_Off_Peak, 'Avoided AC'!$D:$D, $B75, 'Avoided AC'!$E:$E, "Winter") +
        INDEX(AEPS!$S$8:$S$37, MATCH($A75, 'General Inputs'!$F$3:$F$32, 0)) +
        OFFSET(DRIPE!$I$10, MATCH('Output (non-LI)'!$B75, DRIPE!$I$11:$I$30, 0), MATCH('Output (non-LI)'!$B$55, DRIPE!$J$10:$N$10, 0), 1, 1)),"Data Missing")</f>
        <v>92.068984709346594</v>
      </c>
      <c r="G75" s="17">
        <f ca="1">IFERROR(IF(VALUE(RIGHT($B$55,2))&gt;$A75,0,AVERAGEIFS(Elec_On_Peak, 'Avoided AC'!$D:$D, $B75, 'Avoided AC'!$E:$E, "Shoulder") +
        INDEX(AEPS!$S$8:$S$37, MATCH($A75, 'General Inputs'!$F$3:$F$32, 0)) +
        OFFSET(DRIPE!$I$10, MATCH('Output (non-LI)'!$B75, DRIPE!$I$11:$I$30, 0), MATCH('Output (non-LI)'!$B$55, DRIPE!$J$10:$N$10, 0), 1, 1)),"Data Missing")</f>
        <v>77.854622560160081</v>
      </c>
      <c r="H75" s="17">
        <f ca="1">IFERROR(IF(VALUE(RIGHT($B$55,2))&gt;$A75,0,AVERAGEIFS(Elec_Off_Peak, 'Avoided AC'!$D:$D, $B75, 'Avoided AC'!$E:$E, "Shoulder") +
        INDEX(AEPS!$S$8:$S$37, MATCH($A75, 'General Inputs'!$F$3:$F$32, 0)) +
        OFFSET(DRIPE!$I$10, MATCH('Output (non-LI)'!$B75, DRIPE!$I$11:$I$30, 0), MATCH('Output (non-LI)'!$B$55, DRIPE!$J$10:$N$10, 0), 1, 1)),"Data Missing")</f>
        <v>60.279376694726778</v>
      </c>
      <c r="I75" s="17">
        <f ca="1">(IF(VALUE(RIGHT($B$55,2))&gt;$A75,0,INDEX('Generation Capacity'!$E$27:$K$48,MATCH($A75,'Generation Capacity'!$B$27:$B$48,FALSE),MATCH(EDC_NAME,'Generation Capacity'!$E$26:$K$26,FALSE))+
        OFFSET(DRIPE!$B$35,MATCH('Output (non-LI)'!$B75,DRIPE!$B$11:$B$30,0),MATCH('Output (non-LI)'!$B$55,DRIPE!$C$10:$G$10,0),1,1)))</f>
        <v>35.353178660689451</v>
      </c>
      <c r="J75" s="17">
        <f ca="1">(IF(VALUE(RIGHT($B$55,2))&gt;$A75,0,INDEX('Generation Capacity'!$E$27:$K$48,MATCH($A75,'Generation Capacity'!$B$27:$B$48,FALSE),MATCH(EDC_NAME,'Generation Capacity'!$E$26:$K$26,FALSE))+
        OFFSET(DRIPE!$I$35,MATCH('Output (non-LI)'!$B75,DRIPE!$B$11:$B$30,0),MATCH('Output (non-LI)'!$B$55,DRIPE!$C$10:$G$10,0),1,1)))</f>
        <v>35.353178660689451</v>
      </c>
      <c r="K75" s="17">
        <f ca="1">IFERROR(IF(VALUE(RIGHT($B$55,2))&gt;$A75,0,INDEX('T&amp;D Capacity'!$E$4:$K$23,MATCH($A75,'T&amp;D Capacity'!$B$4:$B$23,FALSE),MATCH(EDC_NAME,'T&amp;D Capacity'!$E$3:$K$3,FALSE))),0)</f>
        <v>12.256891673187081</v>
      </c>
      <c r="L75" s="17">
        <f ca="1">IFERROR(IF(VALUE(RIGHT($B$55,2))&gt;$A75,0,INDEX('T&amp;D Capacity'!$E$28:$K$47,MATCH($A75,'T&amp;D Capacity'!$B$28:$B$47,FALSE),MATCH(EDC_NAME,'T&amp;D Capacity'!$E$27:$K$27,FALSE))),0)</f>
        <v>12.256891673187081</v>
      </c>
      <c r="M75" s="17">
        <f ca="1">IFERROR(IF(VALUE(RIGHT($B$55,2))&gt;$A75,0,INDEX('T&amp;D Capacity'!$M$4:$S$23,MATCH($A75,'T&amp;D Capacity'!$B$4:$B$23,FALSE),MATCH(EDC_NAME,'T&amp;D Capacity'!$M$3:$S$3,FALSE))),0)</f>
        <v>79.544248942920845</v>
      </c>
      <c r="N75" s="17">
        <f ca="1">IFERROR(IF(VALUE(RIGHT($B$55,2))&gt;$A75,0,INDEX('T&amp;D Capacity'!$M$28:$S$47,MATCH($A75,'T&amp;D Capacity'!$B$28:$B$47,FALSE),MATCH(EDC_NAME,'T&amp;D Capacity'!$M$27:$S$27,FALSE))),0)</f>
        <v>11.534467163202425</v>
      </c>
      <c r="O75" s="18">
        <f>IFERROR(IF(VALUE(RIGHT($B$55,2))&gt;$A75,0,IFERROR(AVERAGEIF('NG Futures'!$E:$E,$B75,'NG Futures'!$I:$I),"Data Missing")),0)</f>
        <v>5.0684246299869011</v>
      </c>
      <c r="P75" s="324"/>
    </row>
    <row r="76" spans="1:16" s="50" customFormat="1" ht="15" customHeight="1" x14ac:dyDescent="0.2">
      <c r="A76" s="124">
        <f t="shared" ref="A76:B76" si="35">A75+1</f>
        <v>35</v>
      </c>
      <c r="B76" s="124">
        <f t="shared" si="35"/>
        <v>2044</v>
      </c>
      <c r="C76" s="122">
        <f ca="1">IFERROR(IF(VALUE(RIGHT($B$55,2))&gt;$A76,0,AVERAGEIFS(Elec_On_Peak, 'Avoided AC'!$D:$D, $B76, 'Avoided AC'!$E:$E, "Summer") +
        INDEX(AEPS!$S$8:$S$37, MATCH($A76, 'General Inputs'!$F$3:$F$32, 0)) +
        OFFSET(DRIPE!$I$10, MATCH('Output (non-LI)'!$B76, DRIPE!$I$11:$I$30, 0), MATCH('Output (non-LI)'!$B$55, DRIPE!$J$10:$N$10, 0), 1, 1)),"Data Missing")</f>
        <v>90.771671891321404</v>
      </c>
      <c r="D76" s="17">
        <f ca="1">IFERROR(IF(VALUE(RIGHT($B$55,2))&gt;$A76,0,AVERAGEIFS(Elec_Off_Peak, 'Avoided AC'!$D:$D, $B76, 'Avoided AC'!$E:$E, "Summer") +
        INDEX(AEPS!$S$8:$S$37, MATCH($A76, 'General Inputs'!$F$3:$F$32, 0)) +
        OFFSET(DRIPE!$I$10, MATCH('Output (non-LI)'!$B76, DRIPE!$I$11:$I$30, 0), MATCH('Output (non-LI)'!$B$55, DRIPE!$J$10:$N$10, 0), 1, 1)),"Data Missing")</f>
        <v>56.239855032725217</v>
      </c>
      <c r="E76" s="17">
        <f ca="1">IFERROR(IF(VALUE(RIGHT($B$55,2))&gt;$A76,0,AVERAGEIFS(Elec_On_Peak, 'Avoided AC'!$D:$D, $B76, 'Avoided AC'!$E:$E, "Winter") +
        INDEX(AEPS!$S$8:$S$37, MATCH($A76, 'General Inputs'!$F$3:$F$32, 0)) +
        OFFSET(DRIPE!$I$10, MATCH('Output (non-LI)'!$B76, DRIPE!$I$11:$I$30, 0), MATCH('Output (non-LI)'!$B$55, DRIPE!$J$10:$N$10, 0), 1, 1)),"Data Missing")</f>
        <v>115.88716785957854</v>
      </c>
      <c r="F76" s="17">
        <f ca="1">IFERROR(IF(VALUE(RIGHT($B$55,2))&gt;$A76,0,AVERAGEIFS(Elec_Off_Peak, 'Avoided AC'!$D:$D, $B76, 'Avoided AC'!$E:$E, "Winter") +
        INDEX(AEPS!$S$8:$S$37, MATCH($A76, 'General Inputs'!$F$3:$F$32, 0)) +
        OFFSET(DRIPE!$I$10, MATCH('Output (non-LI)'!$B76, DRIPE!$I$11:$I$30, 0), MATCH('Output (non-LI)'!$B$55, DRIPE!$J$10:$N$10, 0), 1, 1)),"Data Missing")</f>
        <v>93.65251278524336</v>
      </c>
      <c r="G76" s="17">
        <f ca="1">IFERROR(IF(VALUE(RIGHT($B$55,2))&gt;$A76,0,AVERAGEIFS(Elec_On_Peak, 'Avoided AC'!$D:$D, $B76, 'Avoided AC'!$E:$E, "Shoulder") +
        INDEX(AEPS!$S$8:$S$37, MATCH($A76, 'General Inputs'!$F$3:$F$32, 0)) +
        OFFSET(DRIPE!$I$10, MATCH('Output (non-LI)'!$B76, DRIPE!$I$11:$I$30, 0), MATCH('Output (non-LI)'!$B$55, DRIPE!$J$10:$N$10, 0), 1, 1)),"Data Missing")</f>
        <v>79.002226658871592</v>
      </c>
      <c r="H76" s="17">
        <f ca="1">IFERROR(IF(VALUE(RIGHT($B$55,2))&gt;$A76,0,AVERAGEIFS(Elec_Off_Peak, 'Avoided AC'!$D:$D, $B76, 'Avoided AC'!$E:$E, "Shoulder") +
        INDEX(AEPS!$S$8:$S$37, MATCH($A76, 'General Inputs'!$F$3:$F$32, 0)) +
        OFFSET(DRIPE!$I$10, MATCH('Output (non-LI)'!$B76, DRIPE!$I$11:$I$30, 0), MATCH('Output (non-LI)'!$B$55, DRIPE!$J$10:$N$10, 0), 1, 1)),"Data Missing")</f>
        <v>61.128543973294818</v>
      </c>
      <c r="I76" s="17">
        <f ca="1">(IF(VALUE(RIGHT($B$55,2))&gt;$A76,0,INDEX('Generation Capacity'!$E$27:$K$48,MATCH($A76,'Generation Capacity'!$B$27:$B$48,FALSE),MATCH(EDC_NAME,'Generation Capacity'!$E$26:$K$26,FALSE))+
        OFFSET(DRIPE!$B$35,MATCH('Output (non-LI)'!$B76,DRIPE!$B$11:$B$30,0),MATCH('Output (non-LI)'!$B$55,DRIPE!$C$10:$G$10,0),1,1)))</f>
        <v>36.085535088982752</v>
      </c>
      <c r="J76" s="17">
        <f ca="1">(IF(VALUE(RIGHT($B$55,2))&gt;$A76,0,INDEX('Generation Capacity'!$E$27:$K$48,MATCH($A76,'Generation Capacity'!$B$27:$B$48,FALSE),MATCH(EDC_NAME,'Generation Capacity'!$E$26:$K$26,FALSE))+
        OFFSET(DRIPE!$I$35,MATCH('Output (non-LI)'!$B76,DRIPE!$B$11:$B$30,0),MATCH('Output (non-LI)'!$B$55,DRIPE!$C$10:$G$10,0),1,1)))</f>
        <v>36.085535088982752</v>
      </c>
      <c r="K76" s="17">
        <f ca="1">IFERROR(IF(VALUE(RIGHT($B$55,2))&gt;$A76,0,INDEX('T&amp;D Capacity'!$E$4:$K$23,MATCH($A76,'T&amp;D Capacity'!$B$4:$B$23,FALSE),MATCH(EDC_NAME,'T&amp;D Capacity'!$E$3:$K$3,FALSE))),0)</f>
        <v>12.510798499894417</v>
      </c>
      <c r="L76" s="17">
        <f ca="1">IFERROR(IF(VALUE(RIGHT($B$55,2))&gt;$A76,0,INDEX('T&amp;D Capacity'!$E$28:$K$47,MATCH($A76,'T&amp;D Capacity'!$B$28:$B$47,FALSE),MATCH(EDC_NAME,'T&amp;D Capacity'!$E$27:$K$27,FALSE))),0)</f>
        <v>12.510798499894417</v>
      </c>
      <c r="M76" s="17">
        <f ca="1">IFERROR(IF(VALUE(RIGHT($B$55,2))&gt;$A76,0,INDEX('T&amp;D Capacity'!$M$4:$S$23,MATCH($A76,'T&amp;D Capacity'!$B$4:$B$23,FALSE),MATCH(EDC_NAME,'T&amp;D Capacity'!$M$3:$S$3,FALSE))),0)</f>
        <v>81.192042557357169</v>
      </c>
      <c r="N76" s="17">
        <f ca="1">IFERROR(IF(VALUE(RIGHT($B$55,2))&gt;$A76,0,INDEX('T&amp;D Capacity'!$M$28:$S$47,MATCH($A76,'T&amp;D Capacity'!$B$28:$B$47,FALSE),MATCH(EDC_NAME,'T&amp;D Capacity'!$M$27:$S$27,FALSE))),0)</f>
        <v>11.773408652876794</v>
      </c>
      <c r="O76" s="18">
        <f>IFERROR(IF(VALUE(RIGHT($B$55,2))&gt;$A76,0,IFERROR(AVERAGEIF('NG Futures'!$E:$E,$B76,'NG Futures'!$I:$I),"Data Missing")),0)</f>
        <v>5.1747263437160846</v>
      </c>
      <c r="P76" s="324"/>
    </row>
    <row r="77" spans="1:16" s="50" customFormat="1" ht="15" customHeight="1" x14ac:dyDescent="0.2">
      <c r="A77" s="124">
        <f t="shared" ref="A77:B77" si="36">A76+1</f>
        <v>36</v>
      </c>
      <c r="B77" s="124">
        <f t="shared" si="36"/>
        <v>2045</v>
      </c>
      <c r="C77" s="122">
        <f ca="1">IFERROR(IF(VALUE(RIGHT($B$55,2))&gt;$A77,0,AVERAGEIFS(Elec_On_Peak, 'Avoided AC'!$D:$D, $B77, 'Avoided AC'!$E:$E, "Summer") +
        INDEX(AEPS!$S$8:$S$37, MATCH($A77, 'General Inputs'!$F$3:$F$32, 0)) +
        OFFSET(DRIPE!$I$10, MATCH('Output (non-LI)'!$B77, DRIPE!$I$11:$I$30, 0), MATCH('Output (non-LI)'!$B$55, DRIPE!$J$10:$N$10, 0), 1, 1)),"Data Missing")</f>
        <v>91.55629291318408</v>
      </c>
      <c r="D77" s="17">
        <f ca="1">IFERROR(IF(VALUE(RIGHT($B$55,2))&gt;$A77,0,AVERAGEIFS(Elec_Off_Peak, 'Avoided AC'!$D:$D, $B77, 'Avoided AC'!$E:$E, "Summer") +
        INDEX(AEPS!$S$8:$S$37, MATCH($A77, 'General Inputs'!$F$3:$F$32, 0)) +
        OFFSET(DRIPE!$I$10, MATCH('Output (non-LI)'!$B77, DRIPE!$I$11:$I$30, 0), MATCH('Output (non-LI)'!$B$55, DRIPE!$J$10:$N$10, 0), 1, 1)),"Data Missing")</f>
        <v>56.840224744224557</v>
      </c>
      <c r="E77" s="17">
        <f ca="1">IFERROR(IF(VALUE(RIGHT($B$55,2))&gt;$A77,0,AVERAGEIFS(Elec_On_Peak, 'Avoided AC'!$D:$D, $B77, 'Avoided AC'!$E:$E, "Winter") +
        INDEX(AEPS!$S$8:$S$37, MATCH($A77, 'General Inputs'!$F$3:$F$32, 0)) +
        OFFSET(DRIPE!$I$10, MATCH('Output (non-LI)'!$B77, DRIPE!$I$11:$I$30, 0), MATCH('Output (non-LI)'!$B$55, DRIPE!$J$10:$N$10, 0), 1, 1)),"Data Missing")</f>
        <v>117.51999402512153</v>
      </c>
      <c r="F77" s="17">
        <f ca="1">IFERROR(IF(VALUE(RIGHT($B$55,2))&gt;$A77,0,AVERAGEIFS(Elec_Off_Peak, 'Avoided AC'!$D:$D, $B77, 'Avoided AC'!$E:$E, "Winter") +
        INDEX(AEPS!$S$8:$S$37, MATCH($A77, 'General Inputs'!$F$3:$F$32, 0)) +
        OFFSET(DRIPE!$I$10, MATCH('Output (non-LI)'!$B77, DRIPE!$I$11:$I$30, 0), MATCH('Output (non-LI)'!$B$55, DRIPE!$J$10:$N$10, 0), 1, 1)),"Data Missing")</f>
        <v>94.837013618356096</v>
      </c>
      <c r="G77" s="17">
        <f ca="1">IFERROR(IF(VALUE(RIGHT($B$55,2))&gt;$A77,0,AVERAGEIFS(Elec_On_Peak, 'Avoided AC'!$D:$D, $B77, 'Avoided AC'!$E:$E, "Shoulder") +
        INDEX(AEPS!$S$8:$S$37, MATCH($A77, 'General Inputs'!$F$3:$F$32, 0)) +
        OFFSET(DRIPE!$I$10, MATCH('Output (non-LI)'!$B77, DRIPE!$I$11:$I$30, 0), MATCH('Output (non-LI)'!$B$55, DRIPE!$J$10:$N$10, 0), 1, 1)),"Data Missing")</f>
        <v>79.87672195433548</v>
      </c>
      <c r="H77" s="17">
        <f ca="1">IFERROR(IF(VALUE(RIGHT($B$55,2))&gt;$A77,0,AVERAGEIFS(Elec_Off_Peak, 'Avoided AC'!$D:$D, $B77, 'Avoided AC'!$E:$E, "Shoulder") +
        INDEX(AEPS!$S$8:$S$37, MATCH($A77, 'General Inputs'!$F$3:$F$32, 0)) +
        OFFSET(DRIPE!$I$10, MATCH('Output (non-LI)'!$B77, DRIPE!$I$11:$I$30, 0), MATCH('Output (non-LI)'!$B$55, DRIPE!$J$10:$N$10, 0), 1, 1)),"Data Missing")</f>
        <v>61.79080715553529</v>
      </c>
      <c r="I77" s="17">
        <f ca="1">(IF(VALUE(RIGHT($B$55,2))&gt;$A77,0,INDEX('Generation Capacity'!$E$27:$K$48,MATCH($A77,'Generation Capacity'!$B$27:$B$48,FALSE),MATCH(EDC_NAME,'Generation Capacity'!$E$26:$K$26,FALSE))+
        OFFSET(DRIPE!$B$35,MATCH('Output (non-LI)'!$B77,DRIPE!$B$11:$B$30,0),MATCH('Output (non-LI)'!$B$55,DRIPE!$C$10:$G$10,0),1,1)))</f>
        <v>36.83306259830416</v>
      </c>
      <c r="J77" s="17">
        <f ca="1">(IF(VALUE(RIGHT($B$55,2))&gt;$A77,0,INDEX('Generation Capacity'!$E$27:$K$48,MATCH($A77,'Generation Capacity'!$B$27:$B$48,FALSE),MATCH(EDC_NAME,'Generation Capacity'!$E$26:$K$26,FALSE))+
        OFFSET(DRIPE!$I$35,MATCH('Output (non-LI)'!$B77,DRIPE!$B$11:$B$30,0),MATCH('Output (non-LI)'!$B$55,DRIPE!$C$10:$G$10,0),1,1)))</f>
        <v>36.83306259830416</v>
      </c>
      <c r="K77" s="17">
        <f ca="1">IFERROR(IF(VALUE(RIGHT($B$55,2))&gt;$A77,0,INDEX('T&amp;D Capacity'!$E$4:$K$23,MATCH($A77,'T&amp;D Capacity'!$B$4:$B$23,FALSE),MATCH(EDC_NAME,'T&amp;D Capacity'!$E$3:$K$3,FALSE))),0)</f>
        <v>12.769965116633969</v>
      </c>
      <c r="L77" s="17">
        <f ca="1">IFERROR(IF(VALUE(RIGHT($B$55,2))&gt;$A77,0,INDEX('T&amp;D Capacity'!$E$28:$K$47,MATCH($A77,'T&amp;D Capacity'!$B$28:$B$47,FALSE),MATCH(EDC_NAME,'T&amp;D Capacity'!$E$27:$K$27,FALSE))),0)</f>
        <v>12.769965116633969</v>
      </c>
      <c r="M77" s="17">
        <f ca="1">IFERROR(IF(VALUE(RIGHT($B$55,2))&gt;$A77,0,INDEX('T&amp;D Capacity'!$M$4:$S$23,MATCH($A77,'T&amp;D Capacity'!$B$4:$B$23,FALSE),MATCH(EDC_NAME,'T&amp;D Capacity'!$M$3:$S$3,FALSE))),0)</f>
        <v>82.873970931148946</v>
      </c>
      <c r="N77" s="17">
        <f ca="1">IFERROR(IF(VALUE(RIGHT($B$55,2))&gt;$A77,0,INDEX('T&amp;D Capacity'!$M$28:$S$47,MATCH($A77,'T&amp;D Capacity'!$B$28:$B$47,FALSE),MATCH(EDC_NAME,'T&amp;D Capacity'!$M$27:$S$27,FALSE))),0)</f>
        <v>12.017299919136418</v>
      </c>
      <c r="O77" s="18">
        <f>IFERROR(IF(VALUE(RIGHT($B$55,2))&gt;$A77,0,IFERROR(AVERAGEIF('NG Futures'!$E:$E,$B77,'NG Futures'!$I:$I),"Data Missing")),0)</f>
        <v>5.2503223688083311</v>
      </c>
      <c r="P77" s="324"/>
    </row>
    <row r="78" spans="1:16" s="50" customFormat="1" ht="15" customHeight="1" x14ac:dyDescent="0.2">
      <c r="A78" s="124">
        <f t="shared" ref="A78:B78" si="37">A77+1</f>
        <v>37</v>
      </c>
      <c r="B78" s="124">
        <f t="shared" si="37"/>
        <v>2046</v>
      </c>
      <c r="C78" s="122">
        <f ca="1">IFERROR(IF(VALUE(RIGHT($B$55,2))&gt;$A78,0,AVERAGEIFS(Elec_On_Peak, 'Avoided AC'!$D:$D, $B78, 'Avoided AC'!$E:$E, "Summer") +
        INDEX(AEPS!$S$8:$S$37, MATCH($A78, 'General Inputs'!$F$3:$F$32, 0)) +
        OFFSET(DRIPE!$I$10, MATCH('Output (non-LI)'!$B78, DRIPE!$I$11:$I$30, 0), MATCH('Output (non-LI)'!$B$55, DRIPE!$J$10:$N$10, 0), 1, 1)),"Data Missing")</f>
        <v>93.381310526331177</v>
      </c>
      <c r="D78" s="17">
        <f ca="1">IFERROR(IF(VALUE(RIGHT($B$55,2))&gt;$A78,0,AVERAGEIFS(Elec_Off_Peak, 'Avoided AC'!$D:$D, $B78, 'Avoided AC'!$E:$E, "Summer") +
        INDEX(AEPS!$S$8:$S$37, MATCH($A78, 'General Inputs'!$F$3:$F$32, 0)) +
        OFFSET(DRIPE!$I$10, MATCH('Output (non-LI)'!$B78, DRIPE!$I$11:$I$30, 0), MATCH('Output (non-LI)'!$B$55, DRIPE!$J$10:$N$10, 0), 1, 1)),"Data Missing")</f>
        <v>58.158282074954336</v>
      </c>
      <c r="E78" s="17">
        <f ca="1">IFERROR(IF(VALUE(RIGHT($B$55,2))&gt;$A78,0,AVERAGEIFS(Elec_On_Peak, 'Avoided AC'!$D:$D, $B78, 'Avoided AC'!$E:$E, "Winter") +
        INDEX(AEPS!$S$8:$S$37, MATCH($A78, 'General Inputs'!$F$3:$F$32, 0)) +
        OFFSET(DRIPE!$I$10, MATCH('Output (non-LI)'!$B78, DRIPE!$I$11:$I$30, 0), MATCH('Output (non-LI)'!$B$55, DRIPE!$J$10:$N$10, 0), 1, 1)),"Data Missing")</f>
        <v>121.6788149547281</v>
      </c>
      <c r="F78" s="17">
        <f ca="1">IFERROR(IF(VALUE(RIGHT($B$55,2))&gt;$A78,0,AVERAGEIFS(Elec_Off_Peak, 'Avoided AC'!$D:$D, $B78, 'Avoided AC'!$E:$E, "Winter") +
        INDEX(AEPS!$S$8:$S$37, MATCH($A78, 'General Inputs'!$F$3:$F$32, 0)) +
        OFFSET(DRIPE!$I$10, MATCH('Output (non-LI)'!$B78, DRIPE!$I$11:$I$30, 0), MATCH('Output (non-LI)'!$B$55, DRIPE!$J$10:$N$10, 0), 1, 1)),"Data Missing")</f>
        <v>97.762284910266814</v>
      </c>
      <c r="G78" s="17">
        <f ca="1">IFERROR(IF(VALUE(RIGHT($B$55,2))&gt;$A78,0,AVERAGEIFS(Elec_On_Peak, 'Avoided AC'!$D:$D, $B78, 'Avoided AC'!$E:$E, "Shoulder") +
        INDEX(AEPS!$S$8:$S$37, MATCH($A78, 'General Inputs'!$F$3:$F$32, 0)) +
        OFFSET(DRIPE!$I$10, MATCH('Output (non-LI)'!$B78, DRIPE!$I$11:$I$30, 0), MATCH('Output (non-LI)'!$B$55, DRIPE!$J$10:$N$10, 0), 1, 1)),"Data Missing")</f>
        <v>81.949025120226054</v>
      </c>
      <c r="H78" s="17">
        <f ca="1">IFERROR(IF(VALUE(RIGHT($B$55,2))&gt;$A78,0,AVERAGEIFS(Elec_Off_Peak, 'Avoided AC'!$D:$D, $B78, 'Avoided AC'!$E:$E, "Shoulder") +
        INDEX(AEPS!$S$8:$S$37, MATCH($A78, 'General Inputs'!$F$3:$F$32, 0)) +
        OFFSET(DRIPE!$I$10, MATCH('Output (non-LI)'!$B78, DRIPE!$I$11:$I$30, 0), MATCH('Output (non-LI)'!$B$55, DRIPE!$J$10:$N$10, 0), 1, 1)),"Data Missing")</f>
        <v>63.279161953050149</v>
      </c>
      <c r="I78" s="17">
        <f ca="1">(IF(VALUE(RIGHT($B$55,2))&gt;$A78,0,INDEX('Generation Capacity'!$E$27:$K$48,MATCH($A78,'Generation Capacity'!$B$27:$B$48,FALSE),MATCH(EDC_NAME,'Generation Capacity'!$E$26:$K$26,FALSE))+
        OFFSET(DRIPE!$B$35,MATCH('Output (non-LI)'!$B78,DRIPE!$B$11:$B$30,0),MATCH('Output (non-LI)'!$B$55,DRIPE!$C$10:$G$10,0),1,1)))</f>
        <v>37.596075464176728</v>
      </c>
      <c r="J78" s="17">
        <f ca="1">(IF(VALUE(RIGHT($B$55,2))&gt;$A78,0,INDEX('Generation Capacity'!$E$27:$K$48,MATCH($A78,'Generation Capacity'!$B$27:$B$48,FALSE),MATCH(EDC_NAME,'Generation Capacity'!$E$26:$K$26,FALSE))+
        OFFSET(DRIPE!$I$35,MATCH('Output (non-LI)'!$B78,DRIPE!$B$11:$B$30,0),MATCH('Output (non-LI)'!$B$55,DRIPE!$C$10:$G$10,0),1,1)))</f>
        <v>37.596075464176728</v>
      </c>
      <c r="K78" s="17">
        <f ca="1">IFERROR(IF(VALUE(RIGHT($B$55,2))&gt;$A78,0,INDEX('T&amp;D Capacity'!$E$4:$K$23,MATCH($A78,'T&amp;D Capacity'!$B$4:$B$23,FALSE),MATCH(EDC_NAME,'T&amp;D Capacity'!$E$3:$K$3,FALSE))),0)</f>
        <v>13.034500482237377</v>
      </c>
      <c r="L78" s="17">
        <f ca="1">IFERROR(IF(VALUE(RIGHT($B$55,2))&gt;$A78,0,INDEX('T&amp;D Capacity'!$E$28:$K$47,MATCH($A78,'T&amp;D Capacity'!$B$28:$B$47,FALSE),MATCH(EDC_NAME,'T&amp;D Capacity'!$E$27:$K$27,FALSE))),0)</f>
        <v>13.034500482237377</v>
      </c>
      <c r="M78" s="17">
        <f ca="1">IFERROR(IF(VALUE(RIGHT($B$55,2))&gt;$A78,0,INDEX('T&amp;D Capacity'!$M$4:$S$23,MATCH($A78,'T&amp;D Capacity'!$B$4:$B$23,FALSE),MATCH(EDC_NAME,'T&amp;D Capacity'!$M$3:$S$3,FALSE))),0)</f>
        <v>84.590741180640151</v>
      </c>
      <c r="N78" s="17">
        <f ca="1">IFERROR(IF(VALUE(RIGHT($B$55,2))&gt;$A78,0,INDEX('T&amp;D Capacity'!$M$28:$S$47,MATCH($A78,'T&amp;D Capacity'!$B$28:$B$47,FALSE),MATCH(EDC_NAME,'T&amp;D Capacity'!$M$27:$S$27,FALSE))),0)</f>
        <v>12.266243498749931</v>
      </c>
      <c r="O78" s="18">
        <f>IFERROR(IF(VALUE(RIGHT($B$55,2))&gt;$A78,0,IFERROR(AVERAGEIF('NG Futures'!$E:$E,$B78,'NG Futures'!$I:$I),"Data Missing")),0)</f>
        <v>5.4583218785801444</v>
      </c>
      <c r="P78" s="325"/>
    </row>
    <row r="79" spans="1:16" s="50" customFormat="1" ht="15" customHeight="1" x14ac:dyDescent="0.2"/>
    <row r="80" spans="1:16" s="50" customFormat="1" ht="15" customHeight="1" x14ac:dyDescent="0.2"/>
    <row r="81" spans="1:16" s="50" customFormat="1" ht="15" customHeight="1" x14ac:dyDescent="0.2"/>
    <row r="82" spans="1:16" s="50" customFormat="1" ht="15" customHeight="1" x14ac:dyDescent="0.2">
      <c r="A82" s="26" t="s">
        <v>115</v>
      </c>
      <c r="B82" s="27" t="s">
        <v>132</v>
      </c>
    </row>
    <row r="83" spans="1:16" s="50" customFormat="1" ht="15" customHeight="1" x14ac:dyDescent="0.2">
      <c r="A83" s="84"/>
      <c r="B83" s="84"/>
      <c r="C83" s="312"/>
      <c r="D83" s="312"/>
      <c r="E83" s="312"/>
      <c r="F83" s="312"/>
      <c r="G83" s="312"/>
      <c r="H83" s="312"/>
      <c r="I83" s="312"/>
      <c r="J83" s="312"/>
      <c r="K83" s="312"/>
      <c r="L83" s="312"/>
      <c r="M83" s="312"/>
      <c r="N83" s="312"/>
    </row>
    <row r="84" spans="1:16" s="50" customFormat="1" ht="50.45" customHeight="1" x14ac:dyDescent="0.2">
      <c r="A84" s="51"/>
      <c r="B84" s="51"/>
      <c r="C84" s="313" t="str">
        <f>EDC_NAME&amp;" Zone Summer ($/MWh)"</f>
        <v>West Penn Zone Summer ($/MWh)</v>
      </c>
      <c r="D84" s="313"/>
      <c r="E84" s="313" t="str">
        <f>EDC_NAME&amp;" Zone Winter ($/MWh)"</f>
        <v>West Penn Zone Winter ($/MWh)</v>
      </c>
      <c r="F84" s="313"/>
      <c r="G84" s="313" t="str">
        <f>EDC_NAME&amp;" DLC Zone Shoulder ($/MWh)"</f>
        <v>West Penn DLC Zone Shoulder ($/MWh)</v>
      </c>
      <c r="H84" s="313"/>
      <c r="I84" s="314" t="str">
        <f>EDC_NAME&amp;" Generation Capacity
($/kW/year)"</f>
        <v>West Penn Generation Capacity
($/kW/year)</v>
      </c>
      <c r="J84" s="315"/>
      <c r="K84" s="316" t="str">
        <f>EDC_NAME&amp;" Transmission Capacity
($/kW/year)"</f>
        <v>West Penn Transmission Capacity
($/kW/year)</v>
      </c>
      <c r="L84" s="316"/>
      <c r="M84" s="316" t="str">
        <f>EDC_NAME&amp;" Distribution Capacity
($/kW/year)"</f>
        <v>West Penn Distribution Capacity
($/kW/year)</v>
      </c>
      <c r="N84" s="316"/>
      <c r="O84" s="326" t="s">
        <v>118</v>
      </c>
      <c r="P84" s="51"/>
    </row>
    <row r="85" spans="1:16" s="50" customFormat="1" ht="50.1" customHeight="1" x14ac:dyDescent="0.2">
      <c r="A85" s="116" t="s">
        <v>119</v>
      </c>
      <c r="B85" s="116" t="s">
        <v>120</v>
      </c>
      <c r="C85" s="118" t="s">
        <v>121</v>
      </c>
      <c r="D85" s="118" t="s">
        <v>122</v>
      </c>
      <c r="E85" s="118" t="s">
        <v>123</v>
      </c>
      <c r="F85" s="118" t="s">
        <v>124</v>
      </c>
      <c r="G85" s="118" t="s">
        <v>125</v>
      </c>
      <c r="H85" s="118" t="s">
        <v>126</v>
      </c>
      <c r="I85" s="284" t="s">
        <v>107</v>
      </c>
      <c r="J85" s="284" t="s">
        <v>101</v>
      </c>
      <c r="K85" s="284" t="s">
        <v>107</v>
      </c>
      <c r="L85" s="284" t="s">
        <v>101</v>
      </c>
      <c r="M85" s="284" t="s">
        <v>107</v>
      </c>
      <c r="N85" s="284" t="s">
        <v>101</v>
      </c>
      <c r="O85" s="327"/>
    </row>
    <row r="86" spans="1:16" s="50" customFormat="1" ht="15" customHeight="1" x14ac:dyDescent="0.2">
      <c r="A86" s="123">
        <v>18</v>
      </c>
      <c r="B86" s="124">
        <f>Start_Year</f>
        <v>2027</v>
      </c>
      <c r="C86" s="119">
        <f ca="1">IFERROR(IF(VALUE(RIGHT($B$82,2))&gt;$A86,0,AVERAGEIFS(Elec_On_Peak, 'Avoided AC'!$D:$D, $B86, 'Avoided AC'!$E:$E, "Summer") +
        INDEX(AEPS!$S$8:$S$37, MATCH($A86, 'General Inputs'!$F$3:$F$32, 0)) +
        OFFSET(DRIPE!$I$10, MATCH('Output (non-LI)'!$B86, DRIPE!$I$11:$I$30, 0), MATCH('Output (non-LI)'!$B$82, DRIPE!$J$10:$N$10, 0), 1, 1)),"Data Missing")</f>
        <v>0</v>
      </c>
      <c r="D86" s="117">
        <f ca="1">IFERROR(IF(VALUE(RIGHT($B$82,2))&gt;$A86,0,AVERAGEIFS(Elec_Off_Peak, 'Avoided AC'!$D:$D, $B86, 'Avoided AC'!$E:$E, "Summer") +
        INDEX(AEPS!$S$8:$S$37, MATCH($A86, 'General Inputs'!$F$3:$F$32, 0)) +
        OFFSET(DRIPE!$I$10, MATCH('Output (non-LI)'!$B86, DRIPE!$I$11:$I$30, 0), MATCH('Output (non-LI)'!$B$82, DRIPE!$J$10:$N$10, 0), 1, 1)),"Data Missing")</f>
        <v>0</v>
      </c>
      <c r="E86" s="117">
        <f ca="1">IFERROR(IF(VALUE(RIGHT($B$82,2))&gt;$A86,0,AVERAGEIFS(Elec_On_Peak, 'Avoided AC'!$D:$D, $B86, 'Avoided AC'!$E:$E, "Winter") +
        INDEX(AEPS!$S$8:$S$37, MATCH($A86, 'General Inputs'!$F$3:$F$32, 0)) +
        OFFSET(DRIPE!$I$10, MATCH('Output (non-LI)'!$B86, DRIPE!$I$11:$I$30, 0), MATCH('Output (non-LI)'!$B$82, DRIPE!$J$10:$N$10, 0), 1, 1)),"Data Missing")</f>
        <v>0</v>
      </c>
      <c r="F86" s="117">
        <f ca="1">IFERROR(IF(VALUE(RIGHT($B$82,2))&gt;$A86,0,AVERAGEIFS(Elec_Off_Peak, 'Avoided AC'!$D:$D, $B86, 'Avoided AC'!$E:$E, "Winter") +
        INDEX(AEPS!$S$8:$S$37, MATCH($A86, 'General Inputs'!$F$3:$F$32, 0)) +
        OFFSET(DRIPE!$I$10, MATCH('Output (non-LI)'!$B86, DRIPE!$I$11:$I$30, 0), MATCH('Output (non-LI)'!$B$82, DRIPE!$J$10:$N$10, 0), 1, 1)),"Data Missing")</f>
        <v>0</v>
      </c>
      <c r="G86" s="117">
        <f ca="1">IFERROR(IF(VALUE(RIGHT($B$82,2))&gt;$A86,0,AVERAGEIFS(Elec_On_Peak, 'Avoided AC'!$D:$D, $B86, 'Avoided AC'!$E:$E, "Shoulder") +
        INDEX(AEPS!$S$8:$S$37, MATCH($A86, 'General Inputs'!$F$3:$F$32, 0)) +
        OFFSET(DRIPE!$I$10, MATCH('Output (non-LI)'!$B86, DRIPE!$I$11:$I$30, 0), MATCH('Output (non-LI)'!$B$82, DRIPE!$J$10:$N$10, 0), 1, 1)),"Data Missing")</f>
        <v>0</v>
      </c>
      <c r="H86" s="117">
        <f ca="1">IFERROR(IF(VALUE(RIGHT($B$82,2))&gt;$A86,0,AVERAGEIFS(Elec_Off_Peak, 'Avoided AC'!$D:$D, $B86, 'Avoided AC'!$E:$E, "Shoulder") +
        INDEX(AEPS!$S$8:$S$37, MATCH($A86, 'General Inputs'!$F$3:$F$32, 0)) +
        OFFSET(DRIPE!$I$10, MATCH('Output (non-LI)'!$B86, DRIPE!$I$11:$I$30, 0), MATCH('Output (non-LI)'!$B$82, DRIPE!$J$10:$N$10, 0), 1, 1)),"Data Missing")</f>
        <v>0</v>
      </c>
      <c r="I86" s="117">
        <f ca="1">(IF(VALUE(RIGHT($B$82,2))&gt;$A86,0,INDEX('Generation Capacity'!$E$27:$K$48,MATCH($A86,'Generation Capacity'!$B$27:$B$48,FALSE),MATCH(EDC_NAME,'Generation Capacity'!$E$26:$K$26,FALSE))+
        OFFSET(DRIPE!$B$35,MATCH('Output (non-LI)'!$B86,DRIPE!$B$11:$B$30,0),MATCH('Output (non-LI)'!$B$82,DRIPE!$C$10:$G$10,0),1,1)))</f>
        <v>0</v>
      </c>
      <c r="J86" s="117">
        <f ca="1">(IF(VALUE(RIGHT($B$82,2))&gt;$A86,0,INDEX('Generation Capacity'!$E$27:$K$48,MATCH($A86,'Generation Capacity'!$B$27:$B$48,FALSE),MATCH(EDC_NAME,'Generation Capacity'!$E$26:$K$26,FALSE))+
        OFFSET(DRIPE!$I$35,MATCH('Output (non-LI)'!$B86,DRIPE!$B$11:$B$30,0),MATCH('Output (non-LI)'!$B$82,DRIPE!$C$10:$G$10,0),1,1)))</f>
        <v>0</v>
      </c>
      <c r="K86" s="117">
        <f>IFERROR(IF(VALUE(RIGHT($B$82,2))&gt;$A86,0,INDEX('T&amp;D Capacity'!$E$4:$K$23,MATCH($A86,'T&amp;D Capacity'!$B$4:$B$23,FALSE),MATCH(EDC_NAME,'T&amp;D Capacity'!$E$3:$K$3,FALSE))),0)</f>
        <v>0</v>
      </c>
      <c r="L86" s="117">
        <f>IFERROR(IF(VALUE(RIGHT($B$82,2))&gt;$A86,0,INDEX('T&amp;D Capacity'!$E$28:$K$47,MATCH($A86,'T&amp;D Capacity'!$B$28:$B$47,FALSE),MATCH(EDC_NAME,'T&amp;D Capacity'!$E$27:$K$27,FALSE))),0)</f>
        <v>0</v>
      </c>
      <c r="M86" s="117">
        <f>IFERROR(IF(VALUE(RIGHT($B$82,2))&gt;$A86,0,INDEX('T&amp;D Capacity'!$M$4:$S$23,MATCH($A86,'T&amp;D Capacity'!$B$4:$B$23,FALSE),MATCH(EDC_NAME,'T&amp;D Capacity'!$M$3:$S$3,FALSE))),0)</f>
        <v>0</v>
      </c>
      <c r="N86" s="117">
        <f>IFERROR(IF(VALUE(RIGHT($B$82,2))&gt;$A86,0,INDEX('T&amp;D Capacity'!$M$28:$S$47,MATCH($A86,'T&amp;D Capacity'!$B$28:$B$47,FALSE),MATCH(EDC_NAME,'T&amp;D Capacity'!$M$27:$S$27,FALSE))),0)</f>
        <v>0</v>
      </c>
      <c r="O86" s="57">
        <f>IFERROR(IF(VALUE(RIGHT($B$82,2))&gt;$A86,0,IFERROR(AVERAGEIF('NG Futures'!$E:$E,$B86,'NG Futures'!$I:$I),"Data Missing")),0)</f>
        <v>0</v>
      </c>
      <c r="P86" s="317" t="s">
        <v>127</v>
      </c>
    </row>
    <row r="87" spans="1:16" s="50" customFormat="1" ht="15" customHeight="1" x14ac:dyDescent="0.2">
      <c r="A87" s="124">
        <f>A86+1</f>
        <v>19</v>
      </c>
      <c r="B87" s="124">
        <f>B86+1</f>
        <v>2028</v>
      </c>
      <c r="C87" s="120">
        <f ca="1">IFERROR(IF(VALUE(RIGHT($B$82,2))&gt;$A87,0,AVERAGEIFS(Elec_On_Peak, 'Avoided AC'!$D:$D, $B87, 'Avoided AC'!$E:$E, "Summer") +
        INDEX(AEPS!$S$8:$S$37, MATCH($A87, 'General Inputs'!$F$3:$F$32, 0)) +
        OFFSET(DRIPE!$I$10, MATCH('Output (non-LI)'!$B87, DRIPE!$I$11:$I$30, 0), MATCH('Output (non-LI)'!$B$82, DRIPE!$J$10:$N$10, 0), 1, 1)),"Data Missing")</f>
        <v>0</v>
      </c>
      <c r="D87" s="14">
        <f ca="1">IFERROR(IF(VALUE(RIGHT($B$82,2))&gt;$A87,0,AVERAGEIFS(Elec_Off_Peak, 'Avoided AC'!$D:$D, $B87, 'Avoided AC'!$E:$E, "Summer") +
        INDEX(AEPS!$S$8:$S$37, MATCH($A87, 'General Inputs'!$F$3:$F$32, 0)) +
        OFFSET(DRIPE!$I$10, MATCH('Output (non-LI)'!$B87, DRIPE!$I$11:$I$30, 0), MATCH('Output (non-LI)'!$B$82, DRIPE!$J$10:$N$10, 0), 1, 1)),"Data Missing")</f>
        <v>0</v>
      </c>
      <c r="E87" s="14">
        <f ca="1">IFERROR(IF(VALUE(RIGHT($B$82,2))&gt;$A87,0,AVERAGEIFS(Elec_On_Peak, 'Avoided AC'!$D:$D, $B87, 'Avoided AC'!$E:$E, "Winter") +
        INDEX(AEPS!$S$8:$S$37, MATCH($A87, 'General Inputs'!$F$3:$F$32, 0)) +
        OFFSET(DRIPE!$I$10, MATCH('Output (non-LI)'!$B87, DRIPE!$I$11:$I$30, 0), MATCH('Output (non-LI)'!$B$82, DRIPE!$J$10:$N$10, 0), 1, 1)),"Data Missing")</f>
        <v>0</v>
      </c>
      <c r="F87" s="14">
        <f ca="1">IFERROR(IF(VALUE(RIGHT($B$82,2))&gt;$A87,0,AVERAGEIFS(Elec_Off_Peak, 'Avoided AC'!$D:$D, $B87, 'Avoided AC'!$E:$E, "Winter") +
        INDEX(AEPS!$S$8:$S$37, MATCH($A87, 'General Inputs'!$F$3:$F$32, 0)) +
        OFFSET(DRIPE!$I$10, MATCH('Output (non-LI)'!$B87, DRIPE!$I$11:$I$30, 0), MATCH('Output (non-LI)'!$B$82, DRIPE!$J$10:$N$10, 0), 1, 1)),"Data Missing")</f>
        <v>0</v>
      </c>
      <c r="G87" s="14">
        <f ca="1">IFERROR(IF(VALUE(RIGHT($B$82,2))&gt;$A87,0,AVERAGEIFS(Elec_On_Peak, 'Avoided AC'!$D:$D, $B87, 'Avoided AC'!$E:$E, "Shoulder") +
        INDEX(AEPS!$S$8:$S$37, MATCH($A87, 'General Inputs'!$F$3:$F$32, 0)) +
        OFFSET(DRIPE!$I$10, MATCH('Output (non-LI)'!$B87, DRIPE!$I$11:$I$30, 0), MATCH('Output (non-LI)'!$B$82, DRIPE!$J$10:$N$10, 0), 1, 1)),"Data Missing")</f>
        <v>0</v>
      </c>
      <c r="H87" s="14">
        <f ca="1">IFERROR(IF(VALUE(RIGHT($B$82,2))&gt;$A87,0,AVERAGEIFS(Elec_Off_Peak, 'Avoided AC'!$D:$D, $B87, 'Avoided AC'!$E:$E, "Shoulder") +
        INDEX(AEPS!$S$8:$S$37, MATCH($A87, 'General Inputs'!$F$3:$F$32, 0)) +
        OFFSET(DRIPE!$I$10, MATCH('Output (non-LI)'!$B87, DRIPE!$I$11:$I$30, 0), MATCH('Output (non-LI)'!$B$82, DRIPE!$J$10:$N$10, 0), 1, 1)),"Data Missing")</f>
        <v>0</v>
      </c>
      <c r="I87" s="14">
        <f ca="1">(IF(VALUE(RIGHT($B$82,2))&gt;$A87,0,INDEX('Generation Capacity'!$E$27:$K$48,MATCH($A87,'Generation Capacity'!$B$27:$B$48,FALSE),MATCH(EDC_NAME,'Generation Capacity'!$E$26:$K$26,FALSE))+
        OFFSET(DRIPE!$B$35,MATCH('Output (non-LI)'!$B87,DRIPE!$B$11:$B$30,0),MATCH('Output (non-LI)'!$B$82,DRIPE!$C$10:$G$10,0),1,1)))</f>
        <v>0</v>
      </c>
      <c r="J87" s="14">
        <f ca="1">(IF(VALUE(RIGHT($B$82,2))&gt;$A87,0,INDEX('Generation Capacity'!$E$27:$K$48,MATCH($A87,'Generation Capacity'!$B$27:$B$48,FALSE),MATCH(EDC_NAME,'Generation Capacity'!$E$26:$K$26,FALSE))+
        OFFSET(DRIPE!$I$35,MATCH('Output (non-LI)'!$B87,DRIPE!$B$11:$B$30,0),MATCH('Output (non-LI)'!$B$82,DRIPE!$C$10:$G$10,0),1,1)))</f>
        <v>0</v>
      </c>
      <c r="K87" s="14">
        <f>IFERROR(IF(VALUE(RIGHT($B$82,2))&gt;$A87,0,INDEX('T&amp;D Capacity'!$E$4:$K$23,MATCH($A87,'T&amp;D Capacity'!$B$4:$B$23,FALSE),MATCH(EDC_NAME,'T&amp;D Capacity'!$E$3:$K$3,FALSE))),0)</f>
        <v>0</v>
      </c>
      <c r="L87" s="14">
        <f>IFERROR(IF(VALUE(RIGHT($B$82,2))&gt;$A87,0,INDEX('T&amp;D Capacity'!$E$28:$K$47,MATCH($A87,'T&amp;D Capacity'!$B$28:$B$47,FALSE),MATCH(EDC_NAME,'T&amp;D Capacity'!$E$27:$K$27,FALSE))),0)</f>
        <v>0</v>
      </c>
      <c r="M87" s="14">
        <f>IFERROR(IF(VALUE(RIGHT($B$82,2))&gt;$A87,0,INDEX('T&amp;D Capacity'!$M$4:$S$23,MATCH($A87,'T&amp;D Capacity'!$B$4:$B$23,FALSE),MATCH(EDC_NAME,'T&amp;D Capacity'!$M$3:$S$3,FALSE))),0)</f>
        <v>0</v>
      </c>
      <c r="N87" s="14">
        <f>IFERROR(IF(VALUE(RIGHT($B$82,2))&gt;$A87,0,INDEX('T&amp;D Capacity'!$M$28:$S$47,MATCH($A87,'T&amp;D Capacity'!$B$28:$B$47,FALSE),MATCH(EDC_NAME,'T&amp;D Capacity'!$M$27:$S$27,FALSE))),0)</f>
        <v>0</v>
      </c>
      <c r="O87" s="57">
        <f>IFERROR(IF(VALUE(RIGHT($B$82,2))&gt;$A87,0,IFERROR(AVERAGEIF('NG Futures'!$E:$E,$B87,'NG Futures'!$I:$I),"Data Missing")),0)</f>
        <v>0</v>
      </c>
      <c r="P87" s="318"/>
    </row>
    <row r="88" spans="1:16" s="50" customFormat="1" ht="15" customHeight="1" x14ac:dyDescent="0.2">
      <c r="A88" s="124">
        <f t="shared" ref="A88:B88" si="38">A87+1</f>
        <v>20</v>
      </c>
      <c r="B88" s="124">
        <f t="shared" si="38"/>
        <v>2029</v>
      </c>
      <c r="C88" s="120">
        <f ca="1">IFERROR(IF(VALUE(RIGHT($B$82,2))&gt;$A88,0,AVERAGEIFS(Elec_On_Peak, 'Avoided AC'!$D:$D, $B88, 'Avoided AC'!$E:$E, "Summer") +
        INDEX(AEPS!$S$8:$S$37, MATCH($A88, 'General Inputs'!$F$3:$F$32, 0)) +
        OFFSET(DRIPE!$I$10, MATCH('Output (non-LI)'!$B88, DRIPE!$I$11:$I$30, 0), MATCH('Output (non-LI)'!$B$82, DRIPE!$J$10:$N$10, 0), 1, 1)),"Data Missing")</f>
        <v>0</v>
      </c>
      <c r="D88" s="14">
        <f ca="1">IFERROR(IF(VALUE(RIGHT($B$82,2))&gt;$A88,0,AVERAGEIFS(Elec_Off_Peak, 'Avoided AC'!$D:$D, $B88, 'Avoided AC'!$E:$E, "Summer") +
        INDEX(AEPS!$S$8:$S$37, MATCH($A88, 'General Inputs'!$F$3:$F$32, 0)) +
        OFFSET(DRIPE!$I$10, MATCH('Output (non-LI)'!$B88, DRIPE!$I$11:$I$30, 0), MATCH('Output (non-LI)'!$B$82, DRIPE!$J$10:$N$10, 0), 1, 1)),"Data Missing")</f>
        <v>0</v>
      </c>
      <c r="E88" s="14">
        <f ca="1">IFERROR(IF(VALUE(RIGHT($B$82,2))&gt;$A88,0,AVERAGEIFS(Elec_On_Peak, 'Avoided AC'!$D:$D, $B88, 'Avoided AC'!$E:$E, "Winter") +
        INDEX(AEPS!$S$8:$S$37, MATCH($A88, 'General Inputs'!$F$3:$F$32, 0)) +
        OFFSET(DRIPE!$I$10, MATCH('Output (non-LI)'!$B88, DRIPE!$I$11:$I$30, 0), MATCH('Output (non-LI)'!$B$82, DRIPE!$J$10:$N$10, 0), 1, 1)),"Data Missing")</f>
        <v>0</v>
      </c>
      <c r="F88" s="14">
        <f ca="1">IFERROR(IF(VALUE(RIGHT($B$82,2))&gt;$A88,0,AVERAGEIFS(Elec_Off_Peak, 'Avoided AC'!$D:$D, $B88, 'Avoided AC'!$E:$E, "Winter") +
        INDEX(AEPS!$S$8:$S$37, MATCH($A88, 'General Inputs'!$F$3:$F$32, 0)) +
        OFFSET(DRIPE!$I$10, MATCH('Output (non-LI)'!$B88, DRIPE!$I$11:$I$30, 0), MATCH('Output (non-LI)'!$B$82, DRIPE!$J$10:$N$10, 0), 1, 1)),"Data Missing")</f>
        <v>0</v>
      </c>
      <c r="G88" s="14">
        <f ca="1">IFERROR(IF(VALUE(RIGHT($B$82,2))&gt;$A88,0,AVERAGEIFS(Elec_On_Peak, 'Avoided AC'!$D:$D, $B88, 'Avoided AC'!$E:$E, "Shoulder") +
        INDEX(AEPS!$S$8:$S$37, MATCH($A88, 'General Inputs'!$F$3:$F$32, 0)) +
        OFFSET(DRIPE!$I$10, MATCH('Output (non-LI)'!$B88, DRIPE!$I$11:$I$30, 0), MATCH('Output (non-LI)'!$B$82, DRIPE!$J$10:$N$10, 0), 1, 1)),"Data Missing")</f>
        <v>0</v>
      </c>
      <c r="H88" s="14">
        <f ca="1">IFERROR(IF(VALUE(RIGHT($B$82,2))&gt;$A88,0,AVERAGEIFS(Elec_Off_Peak, 'Avoided AC'!$D:$D, $B88, 'Avoided AC'!$E:$E, "Shoulder") +
        INDEX(AEPS!$S$8:$S$37, MATCH($A88, 'General Inputs'!$F$3:$F$32, 0)) +
        OFFSET(DRIPE!$I$10, MATCH('Output (non-LI)'!$B88, DRIPE!$I$11:$I$30, 0), MATCH('Output (non-LI)'!$B$82, DRIPE!$J$10:$N$10, 0), 1, 1)),"Data Missing")</f>
        <v>0</v>
      </c>
      <c r="I88" s="14">
        <f ca="1">(IF(VALUE(RIGHT($B$82,2))&gt;$A88,0,INDEX('Generation Capacity'!$E$27:$K$48,MATCH($A88,'Generation Capacity'!$B$27:$B$48,FALSE),MATCH(EDC_NAME,'Generation Capacity'!$E$26:$K$26,FALSE))+
        OFFSET(DRIPE!$B$35,MATCH('Output (non-LI)'!$B88,DRIPE!$B$11:$B$30,0),MATCH('Output (non-LI)'!$B$82,DRIPE!$C$10:$G$10,0),1,1)))</f>
        <v>0</v>
      </c>
      <c r="J88" s="14">
        <f ca="1">(IF(VALUE(RIGHT($B$82,2))&gt;$A88,0,INDEX('Generation Capacity'!$E$27:$K$48,MATCH($A88,'Generation Capacity'!$B$27:$B$48,FALSE),MATCH(EDC_NAME,'Generation Capacity'!$E$26:$K$26,FALSE))+
        OFFSET(DRIPE!$I$35,MATCH('Output (non-LI)'!$B88,DRIPE!$B$11:$B$30,0),MATCH('Output (non-LI)'!$B$82,DRIPE!$C$10:$G$10,0),1,1)))</f>
        <v>0</v>
      </c>
      <c r="K88" s="14">
        <f>IFERROR(IF(VALUE(RIGHT($B$82,2))&gt;$A88,0,INDEX('T&amp;D Capacity'!$E$4:$K$23,MATCH($A88,'T&amp;D Capacity'!$B$4:$B$23,FALSE),MATCH(EDC_NAME,'T&amp;D Capacity'!$E$3:$K$3,FALSE))),0)</f>
        <v>0</v>
      </c>
      <c r="L88" s="14">
        <f>IFERROR(IF(VALUE(RIGHT($B$82,2))&gt;$A88,0,INDEX('T&amp;D Capacity'!$E$28:$K$47,MATCH($A88,'T&amp;D Capacity'!$B$28:$B$47,FALSE),MATCH(EDC_NAME,'T&amp;D Capacity'!$E$27:$K$27,FALSE))),0)</f>
        <v>0</v>
      </c>
      <c r="M88" s="14">
        <f>IFERROR(IF(VALUE(RIGHT($B$82,2))&gt;$A88,0,INDEX('T&amp;D Capacity'!$M$4:$S$23,MATCH($A88,'T&amp;D Capacity'!$B$4:$B$23,FALSE),MATCH(EDC_NAME,'T&amp;D Capacity'!$M$3:$S$3,FALSE))),0)</f>
        <v>0</v>
      </c>
      <c r="N88" s="14">
        <f>IFERROR(IF(VALUE(RIGHT($B$82,2))&gt;$A88,0,INDEX('T&amp;D Capacity'!$M$28:$S$47,MATCH($A88,'T&amp;D Capacity'!$B$28:$B$47,FALSE),MATCH(EDC_NAME,'T&amp;D Capacity'!$M$27:$S$27,FALSE))),0)</f>
        <v>0</v>
      </c>
      <c r="O88" s="57">
        <f>IFERROR(IF(VALUE(RIGHT($B$82,2))&gt;$A88,0,IFERROR(AVERAGEIF('NG Futures'!$E:$E,$B88,'NG Futures'!$I:$I),"Data Missing")),0)</f>
        <v>0</v>
      </c>
      <c r="P88" s="318"/>
    </row>
    <row r="89" spans="1:16" s="50" customFormat="1" ht="15" customHeight="1" x14ac:dyDescent="0.2">
      <c r="A89" s="124">
        <f t="shared" ref="A89:B89" si="39">A88+1</f>
        <v>21</v>
      </c>
      <c r="B89" s="124">
        <f t="shared" si="39"/>
        <v>2030</v>
      </c>
      <c r="C89" s="120">
        <f ca="1">IFERROR(IF(VALUE(RIGHT($B$82,2))&gt;$A89,0,AVERAGEIFS(Elec_On_Peak, 'Avoided AC'!$D:$D, $B89, 'Avoided AC'!$E:$E, "Summer") +
        INDEX(AEPS!$S$8:$S$37, MATCH($A89, 'General Inputs'!$F$3:$F$32, 0)) +
        OFFSET(DRIPE!$I$10, MATCH('Output (non-LI)'!$B89, DRIPE!$I$11:$I$30, 0), MATCH('Output (non-LI)'!$B$82, DRIPE!$J$10:$N$10, 0), 1, 1)),"Data Missing")</f>
        <v>90.459971037556926</v>
      </c>
      <c r="D89" s="14">
        <f ca="1">IFERROR(IF(VALUE(RIGHT($B$82,2))&gt;$A89,0,AVERAGEIFS(Elec_Off_Peak, 'Avoided AC'!$D:$D, $B89, 'Avoided AC'!$E:$E, "Summer") +
        INDEX(AEPS!$S$8:$S$37, MATCH($A89, 'General Inputs'!$F$3:$F$32, 0)) +
        OFFSET(DRIPE!$I$10, MATCH('Output (non-LI)'!$B89, DRIPE!$I$11:$I$30, 0), MATCH('Output (non-LI)'!$B$82, DRIPE!$J$10:$N$10, 0), 1, 1)),"Data Missing")</f>
        <v>61.652565602282912</v>
      </c>
      <c r="E89" s="14">
        <f ca="1">IFERROR(IF(VALUE(RIGHT($B$82,2))&gt;$A89,0,AVERAGEIFS(Elec_On_Peak, 'Avoided AC'!$D:$D, $B89, 'Avoided AC'!$E:$E, "Winter") +
        INDEX(AEPS!$S$8:$S$37, MATCH($A89, 'General Inputs'!$F$3:$F$32, 0)) +
        OFFSET(DRIPE!$I$10, MATCH('Output (non-LI)'!$B89, DRIPE!$I$11:$I$30, 0), MATCH('Output (non-LI)'!$B$82, DRIPE!$J$10:$N$10, 0), 1, 1)),"Data Missing")</f>
        <v>102.28824601620765</v>
      </c>
      <c r="F89" s="14">
        <f ca="1">IFERROR(IF(VALUE(RIGHT($B$82,2))&gt;$A89,0,AVERAGEIFS(Elec_Off_Peak, 'Avoided AC'!$D:$D, $B89, 'Avoided AC'!$E:$E, "Winter") +
        INDEX(AEPS!$S$8:$S$37, MATCH($A89, 'General Inputs'!$F$3:$F$32, 0)) +
        OFFSET(DRIPE!$I$10, MATCH('Output (non-LI)'!$B89, DRIPE!$I$11:$I$30, 0), MATCH('Output (non-LI)'!$B$82, DRIPE!$J$10:$N$10, 0), 1, 1)),"Data Missing")</f>
        <v>88.113008662512982</v>
      </c>
      <c r="G89" s="14">
        <f ca="1">IFERROR(IF(VALUE(RIGHT($B$82,2))&gt;$A89,0,AVERAGEIFS(Elec_On_Peak, 'Avoided AC'!$D:$D, $B89, 'Avoided AC'!$E:$E, "Shoulder") +
        INDEX(AEPS!$S$8:$S$37, MATCH($A89, 'General Inputs'!$F$3:$F$32, 0)) +
        OFFSET(DRIPE!$I$10, MATCH('Output (non-LI)'!$B89, DRIPE!$I$11:$I$30, 0), MATCH('Output (non-LI)'!$B$82, DRIPE!$J$10:$N$10, 0), 1, 1)),"Data Missing")</f>
        <v>79.610462447613699</v>
      </c>
      <c r="H89" s="14">
        <f ca="1">IFERROR(IF(VALUE(RIGHT($B$82,2))&gt;$A89,0,AVERAGEIFS(Elec_Off_Peak, 'Avoided AC'!$D:$D, $B89, 'Avoided AC'!$E:$E, "Shoulder") +
        INDEX(AEPS!$S$8:$S$37, MATCH($A89, 'General Inputs'!$F$3:$F$32, 0)) +
        OFFSET(DRIPE!$I$10, MATCH('Output (non-LI)'!$B89, DRIPE!$I$11:$I$30, 0), MATCH('Output (non-LI)'!$B$82, DRIPE!$J$10:$N$10, 0), 1, 1)),"Data Missing")</f>
        <v>64.6693468852487</v>
      </c>
      <c r="I89" s="14">
        <f ca="1">(IF(VALUE(RIGHT($B$82,2))&gt;$A89,0,INDEX('Generation Capacity'!$E$27:$K$48,MATCH($A89,'Generation Capacity'!$B$27:$B$48,FALSE),MATCH(EDC_NAME,'Generation Capacity'!$E$26:$K$26,FALSE))+
        OFFSET(DRIPE!$B$35,MATCH('Output (non-LI)'!$B89,DRIPE!$B$11:$B$30,0),MATCH('Output (non-LI)'!$B$82,DRIPE!$C$10:$G$10,0),1,1)))</f>
        <v>40.366181495546314</v>
      </c>
      <c r="J89" s="14">
        <f ca="1">(IF(VALUE(RIGHT($B$82,2))&gt;$A89,0,INDEX('Generation Capacity'!$E$27:$K$48,MATCH($A89,'Generation Capacity'!$B$27:$B$48,FALSE),MATCH(EDC_NAME,'Generation Capacity'!$E$26:$K$26,FALSE))+
        OFFSET(DRIPE!$I$35,MATCH('Output (non-LI)'!$B89,DRIPE!$B$11:$B$30,0),MATCH('Output (non-LI)'!$B$82,DRIPE!$C$10:$G$10,0),1,1)))</f>
        <v>40.366181495546314</v>
      </c>
      <c r="K89" s="14">
        <f ca="1">IFERROR(IF(VALUE(RIGHT($B$82,2))&gt;$A89,0,INDEX('T&amp;D Capacity'!$E$4:$K$23,MATCH($A89,'T&amp;D Capacity'!$B$4:$B$23,FALSE),MATCH(EDC_NAME,'T&amp;D Capacity'!$E$3:$K$3,FALSE))),0)</f>
        <v>9.3890032112421178</v>
      </c>
      <c r="L89" s="14">
        <f ca="1">IFERROR(IF(VALUE(RIGHT($B$82,2))&gt;$A89,0,INDEX('T&amp;D Capacity'!$E$28:$K$47,MATCH($A89,'T&amp;D Capacity'!$B$28:$B$47,FALSE),MATCH(EDC_NAME,'T&amp;D Capacity'!$E$27:$K$27,FALSE))),0)</f>
        <v>9.3890032112421178</v>
      </c>
      <c r="M89" s="14">
        <f>IFERROR(IF(VALUE(RIGHT($B$82,2))&gt;$A89,0,INDEX('T&amp;D Capacity'!$M$4:$S$23,MATCH($A89,'T&amp;D Capacity'!$B$4:$B$23,FALSE),MATCH(EDC_NAME,'T&amp;D Capacity'!$M$3:$S$3,FALSE))),0)</f>
        <v>56.91817232966423</v>
      </c>
      <c r="N89" s="14">
        <f>IFERROR(IF(VALUE(RIGHT($B$82,2))&gt;$A89,0,INDEX('T&amp;D Capacity'!$M$28:$S$47,MATCH($A89,'T&amp;D Capacity'!$B$28:$B$47,FALSE),MATCH(EDC_NAME,'T&amp;D Capacity'!$M$27:$S$27,FALSE))),0)</f>
        <v>7.9289728403091431</v>
      </c>
      <c r="O89" s="57">
        <f>IFERROR(IF(VALUE(RIGHT($B$82,2))&gt;$A89,0,IFERROR(AVERAGEIF('NG Futures'!$E:$E,$B89,'NG Futures'!$I:$I),"Data Missing")),0)</f>
        <v>3.4177733333333329</v>
      </c>
      <c r="P89" s="319"/>
    </row>
    <row r="90" spans="1:16" s="50" customFormat="1" ht="15" customHeight="1" x14ac:dyDescent="0.2">
      <c r="A90" s="124">
        <f t="shared" ref="A90:B90" si="40">A89+1</f>
        <v>22</v>
      </c>
      <c r="B90" s="124">
        <f t="shared" si="40"/>
        <v>2031</v>
      </c>
      <c r="C90" s="121">
        <f ca="1">IFERROR(IF(VALUE(RIGHT($B$82,2))&gt;$A90,0,AVERAGEIFS(Elec_On_Peak, 'Avoided AC'!$D:$D, $B90, 'Avoided AC'!$E:$E, "Summer") +
        INDEX(AEPS!$S$8:$S$37, MATCH($A90, 'General Inputs'!$F$3:$F$32, 0)) +
        OFFSET(DRIPE!$I$10, MATCH('Output (non-LI)'!$B90, DRIPE!$I$11:$I$30, 0), MATCH('Output (non-LI)'!$B$82, DRIPE!$J$10:$N$10, 0), 1, 1)),"Data Missing")</f>
        <v>99.613785044523439</v>
      </c>
      <c r="D90" s="15">
        <f ca="1">IFERROR(IF(VALUE(RIGHT($B$82,2))&gt;$A90,0,AVERAGEIFS(Elec_Off_Peak, 'Avoided AC'!$D:$D, $B90, 'Avoided AC'!$E:$E, "Summer") +
        INDEX(AEPS!$S$8:$S$37, MATCH($A90, 'General Inputs'!$F$3:$F$32, 0)) +
        OFFSET(DRIPE!$I$10, MATCH('Output (non-LI)'!$B90, DRIPE!$I$11:$I$30, 0), MATCH('Output (non-LI)'!$B$82, DRIPE!$J$10:$N$10, 0), 1, 1)),"Data Missing")</f>
        <v>69.667852442793404</v>
      </c>
      <c r="E90" s="15">
        <f ca="1">IFERROR(IF(VALUE(RIGHT($B$82,2))&gt;$A90,0,AVERAGEIFS(Elec_On_Peak, 'Avoided AC'!$D:$D, $B90, 'Avoided AC'!$E:$E, "Winter") +
        INDEX(AEPS!$S$8:$S$37, MATCH($A90, 'General Inputs'!$F$3:$F$32, 0)) +
        OFFSET(DRIPE!$I$10, MATCH('Output (non-LI)'!$B90, DRIPE!$I$11:$I$30, 0), MATCH('Output (non-LI)'!$B$82, DRIPE!$J$10:$N$10, 0), 1, 1)),"Data Missing")</f>
        <v>106.92922486782274</v>
      </c>
      <c r="F90" s="15">
        <f ca="1">IFERROR(IF(VALUE(RIGHT($B$82,2))&gt;$A90,0,AVERAGEIFS(Elec_Off_Peak, 'Avoided AC'!$D:$D, $B90, 'Avoided AC'!$E:$E, "Winter") +
        INDEX(AEPS!$S$8:$S$37, MATCH($A90, 'General Inputs'!$F$3:$F$32, 0)) +
        OFFSET(DRIPE!$I$10, MATCH('Output (non-LI)'!$B90, DRIPE!$I$11:$I$30, 0), MATCH('Output (non-LI)'!$B$82, DRIPE!$J$10:$N$10, 0), 1, 1)),"Data Missing")</f>
        <v>94.82219410491264</v>
      </c>
      <c r="G90" s="15">
        <f ca="1">IFERROR(IF(VALUE(RIGHT($B$82,2))&gt;$A90,0,AVERAGEIFS(Elec_On_Peak, 'Avoided AC'!$D:$D, $B90, 'Avoided AC'!$E:$E, "Shoulder") +
        INDEX(AEPS!$S$8:$S$37, MATCH($A90, 'General Inputs'!$F$3:$F$32, 0)) +
        OFFSET(DRIPE!$I$10, MATCH('Output (non-LI)'!$B90, DRIPE!$I$11:$I$30, 0), MATCH('Output (non-LI)'!$B$82, DRIPE!$J$10:$N$10, 0), 1, 1)),"Data Missing")</f>
        <v>85.597600195495929</v>
      </c>
      <c r="H90" s="15">
        <f ca="1">IFERROR(IF(VALUE(RIGHT($B$82,2))&gt;$A90,0,AVERAGEIFS(Elec_Off_Peak, 'Avoided AC'!$D:$D, $B90, 'Avoided AC'!$E:$E, "Shoulder") +
        INDEX(AEPS!$S$8:$S$37, MATCH($A90, 'General Inputs'!$F$3:$F$32, 0)) +
        OFFSET(DRIPE!$I$10, MATCH('Output (non-LI)'!$B90, DRIPE!$I$11:$I$30, 0), MATCH('Output (non-LI)'!$B$82, DRIPE!$J$10:$N$10, 0), 1, 1)),"Data Missing")</f>
        <v>73.009285342789624</v>
      </c>
      <c r="I90" s="15">
        <f ca="1">(IF(VALUE(RIGHT($B$82,2))&gt;$A90,0,INDEX('Generation Capacity'!$E$27:$K$48,MATCH($A90,'Generation Capacity'!$B$27:$B$48,FALSE),MATCH(EDC_NAME,'Generation Capacity'!$E$26:$K$26,FALSE))+
        OFFSET(DRIPE!$B$35,MATCH('Output (non-LI)'!$B90,DRIPE!$B$11:$B$30,0),MATCH('Output (non-LI)'!$B$82,DRIPE!$C$10:$G$10,0),1,1)))</f>
        <v>41.192179915077226</v>
      </c>
      <c r="J90" s="15">
        <f ca="1">(IF(VALUE(RIGHT($B$82,2))&gt;$A90,0,INDEX('Generation Capacity'!$E$27:$K$48,MATCH($A90,'Generation Capacity'!$B$27:$B$48,FALSE),MATCH(EDC_NAME,'Generation Capacity'!$E$26:$K$26,FALSE))+
        OFFSET(DRIPE!$I$35,MATCH('Output (non-LI)'!$B90,DRIPE!$B$11:$B$30,0),MATCH('Output (non-LI)'!$B$82,DRIPE!$C$10:$G$10,0),1,1)))</f>
        <v>41.192179915077226</v>
      </c>
      <c r="K90" s="15">
        <f ca="1">IFERROR(IF(VALUE(RIGHT($B$82,2))&gt;$A90,0,INDEX('T&amp;D Capacity'!$E$4:$K$23,MATCH($A90,'T&amp;D Capacity'!$B$4:$B$23,FALSE),MATCH(EDC_NAME,'T&amp;D Capacity'!$E$3:$K$3,FALSE))),0)</f>
        <v>9.5835004846843326</v>
      </c>
      <c r="L90" s="15">
        <f ca="1">IFERROR(IF(VALUE(RIGHT($B$82,2))&gt;$A90,0,INDEX('T&amp;D Capacity'!$E$28:$K$47,MATCH($A90,'T&amp;D Capacity'!$B$28:$B$47,FALSE),MATCH(EDC_NAME,'T&amp;D Capacity'!$E$27:$K$27,FALSE))),0)</f>
        <v>9.5835004846843326</v>
      </c>
      <c r="M90" s="15">
        <f>IFERROR(IF(VALUE(RIGHT($B$82,2))&gt;$A90,0,INDEX('T&amp;D Capacity'!$M$4:$S$23,MATCH($A90,'T&amp;D Capacity'!$B$4:$B$23,FALSE),MATCH(EDC_NAME,'T&amp;D Capacity'!$M$3:$S$3,FALSE))),0)</f>
        <v>62.194589674472809</v>
      </c>
      <c r="N90" s="15">
        <f>IFERROR(IF(VALUE(RIGHT($B$82,2))&gt;$A90,0,INDEX('T&amp;D Capacity'!$M$28:$S$47,MATCH($A90,'T&amp;D Capacity'!$B$28:$B$47,FALSE),MATCH(EDC_NAME,'T&amp;D Capacity'!$M$27:$S$27,FALSE))),0)</f>
        <v>9.0186463743448257</v>
      </c>
      <c r="O90" s="16">
        <f>IFERROR(IF(VALUE(RIGHT($B$82,2))&gt;$A90,0,IFERROR(AVERAGEIF('NG Futures'!$E:$E,$B90,'NG Futures'!$I:$I),"Data Missing")),0)</f>
        <v>3.3679469428694606</v>
      </c>
      <c r="P90" s="320" t="s">
        <v>128</v>
      </c>
    </row>
    <row r="91" spans="1:16" s="50" customFormat="1" ht="15" customHeight="1" x14ac:dyDescent="0.2">
      <c r="A91" s="124">
        <f t="shared" ref="A91:B91" si="41">A90+1</f>
        <v>23</v>
      </c>
      <c r="B91" s="124">
        <f t="shared" si="41"/>
        <v>2032</v>
      </c>
      <c r="C91" s="121">
        <f ca="1">IFERROR(IF(VALUE(RIGHT($B$82,2))&gt;$A91,0,AVERAGEIFS(Elec_On_Peak, 'Avoided AC'!$D:$D, $B91, 'Avoided AC'!$E:$E, "Summer") +
        INDEX(AEPS!$S$8:$S$37, MATCH($A91, 'General Inputs'!$F$3:$F$32, 0)) +
        OFFSET(DRIPE!$I$10, MATCH('Output (non-LI)'!$B91, DRIPE!$I$11:$I$30, 0), MATCH('Output (non-LI)'!$B$82, DRIPE!$J$10:$N$10, 0), 1, 1)),"Data Missing")</f>
        <v>107.86898729521783</v>
      </c>
      <c r="D91" s="15">
        <f ca="1">IFERROR(IF(VALUE(RIGHT($B$82,2))&gt;$A91,0,AVERAGEIFS(Elec_Off_Peak, 'Avoided AC'!$D:$D, $B91, 'Avoided AC'!$E:$E, "Summer") +
        INDEX(AEPS!$S$8:$S$37, MATCH($A91, 'General Inputs'!$F$3:$F$32, 0)) +
        OFFSET(DRIPE!$I$10, MATCH('Output (non-LI)'!$B91, DRIPE!$I$11:$I$30, 0), MATCH('Output (non-LI)'!$B$82, DRIPE!$J$10:$N$10, 0), 1, 1)),"Data Missing")</f>
        <v>77.964724476380894</v>
      </c>
      <c r="E91" s="15">
        <f ca="1">IFERROR(IF(VALUE(RIGHT($B$82,2))&gt;$A91,0,AVERAGEIFS(Elec_On_Peak, 'Avoided AC'!$D:$D, $B91, 'Avoided AC'!$E:$E, "Winter") +
        INDEX(AEPS!$S$8:$S$37, MATCH($A91, 'General Inputs'!$F$3:$F$32, 0)) +
        OFFSET(DRIPE!$I$10, MATCH('Output (non-LI)'!$B91, DRIPE!$I$11:$I$30, 0), MATCH('Output (non-LI)'!$B$82, DRIPE!$J$10:$N$10, 0), 1, 1)),"Data Missing")</f>
        <v>117.73209326561337</v>
      </c>
      <c r="F91" s="15">
        <f ca="1">IFERROR(IF(VALUE(RIGHT($B$82,2))&gt;$A91,0,AVERAGEIFS(Elec_Off_Peak, 'Avoided AC'!$D:$D, $B91, 'Avoided AC'!$E:$E, "Winter") +
        INDEX(AEPS!$S$8:$S$37, MATCH($A91, 'General Inputs'!$F$3:$F$32, 0)) +
        OFFSET(DRIPE!$I$10, MATCH('Output (non-LI)'!$B91, DRIPE!$I$11:$I$30, 0), MATCH('Output (non-LI)'!$B$82, DRIPE!$J$10:$N$10, 0), 1, 1)),"Data Missing")</f>
        <v>104.87356043164091</v>
      </c>
      <c r="G91" s="15">
        <f ca="1">IFERROR(IF(VALUE(RIGHT($B$82,2))&gt;$A91,0,AVERAGEIFS(Elec_On_Peak, 'Avoided AC'!$D:$D, $B91, 'Avoided AC'!$E:$E, "Shoulder") +
        INDEX(AEPS!$S$8:$S$37, MATCH($A91, 'General Inputs'!$F$3:$F$32, 0)) +
        OFFSET(DRIPE!$I$10, MATCH('Output (non-LI)'!$B91, DRIPE!$I$11:$I$30, 0), MATCH('Output (non-LI)'!$B$82, DRIPE!$J$10:$N$10, 0), 1, 1)),"Data Missing")</f>
        <v>94.501305605162543</v>
      </c>
      <c r="H91" s="15">
        <f ca="1">IFERROR(IF(VALUE(RIGHT($B$82,2))&gt;$A91,0,AVERAGEIFS(Elec_Off_Peak, 'Avoided AC'!$D:$D, $B91, 'Avoided AC'!$E:$E, "Shoulder") +
        INDEX(AEPS!$S$8:$S$37, MATCH($A91, 'General Inputs'!$F$3:$F$32, 0)) +
        OFFSET(DRIPE!$I$10, MATCH('Output (non-LI)'!$B91, DRIPE!$I$11:$I$30, 0), MATCH('Output (non-LI)'!$B$82, DRIPE!$J$10:$N$10, 0), 1, 1)),"Data Missing")</f>
        <v>81.752760277152532</v>
      </c>
      <c r="I91" s="15">
        <f ca="1">(IF(VALUE(RIGHT($B$82,2))&gt;$A91,0,INDEX('Generation Capacity'!$E$27:$K$48,MATCH($A91,'Generation Capacity'!$B$27:$B$48,FALSE),MATCH(EDC_NAME,'Generation Capacity'!$E$26:$K$26,FALSE))+
        OFFSET(DRIPE!$B$35,MATCH('Output (non-LI)'!$B91,DRIPE!$B$11:$B$30,0),MATCH('Output (non-LI)'!$B$82,DRIPE!$C$10:$G$10,0),1,1)))</f>
        <v>42.034799660168403</v>
      </c>
      <c r="J91" s="15">
        <f ca="1">(IF(VALUE(RIGHT($B$82,2))&gt;$A91,0,INDEX('Generation Capacity'!$E$27:$K$48,MATCH($A91,'Generation Capacity'!$B$27:$B$48,FALSE),MATCH(EDC_NAME,'Generation Capacity'!$E$26:$K$26,FALSE))+
        OFFSET(DRIPE!$I$35,MATCH('Output (non-LI)'!$B91,DRIPE!$B$11:$B$30,0),MATCH('Output (non-LI)'!$B$82,DRIPE!$C$10:$G$10,0),1,1)))</f>
        <v>42.034799660168403</v>
      </c>
      <c r="K91" s="15">
        <f ca="1">IFERROR(IF(VALUE(RIGHT($B$82,2))&gt;$A91,0,INDEX('T&amp;D Capacity'!$E$4:$K$23,MATCH($A91,'T&amp;D Capacity'!$B$4:$B$23,FALSE),MATCH(EDC_NAME,'T&amp;D Capacity'!$E$3:$K$3,FALSE))),0)</f>
        <v>9.7820268534975199</v>
      </c>
      <c r="L91" s="15">
        <f ca="1">IFERROR(IF(VALUE(RIGHT($B$82,2))&gt;$A91,0,INDEX('T&amp;D Capacity'!$E$28:$K$47,MATCH($A91,'T&amp;D Capacity'!$B$28:$B$47,FALSE),MATCH(EDC_NAME,'T&amp;D Capacity'!$E$27:$K$27,FALSE))),0)</f>
        <v>9.7820268534975199</v>
      </c>
      <c r="M91" s="15">
        <f ca="1">IFERROR(IF(VALUE(RIGHT($B$82,2))&gt;$A91,0,INDEX('T&amp;D Capacity'!$M$4:$S$23,MATCH($A91,'T&amp;D Capacity'!$B$4:$B$23,FALSE),MATCH(EDC_NAME,'T&amp;D Capacity'!$M$3:$S$3,FALSE))),0)</f>
        <v>63.482977572781131</v>
      </c>
      <c r="N91" s="15">
        <f ca="1">IFERROR(IF(VALUE(RIGHT($B$82,2))&gt;$A91,0,INDEX('T&amp;D Capacity'!$M$28:$S$47,MATCH($A91,'T&amp;D Capacity'!$B$28:$B$47,FALSE),MATCH(EDC_NAME,'T&amp;D Capacity'!$M$27:$S$27,FALSE))),0)</f>
        <v>9.2054715452904787</v>
      </c>
      <c r="O91" s="16">
        <f>IFERROR(IF(VALUE(RIGHT($B$82,2))&gt;$A91,0,IFERROR(AVERAGEIF('NG Futures'!$E:$E,$B91,'NG Futures'!$I:$I),"Data Missing")),0)</f>
        <v>3.4331546501092309</v>
      </c>
      <c r="P91" s="321"/>
    </row>
    <row r="92" spans="1:16" s="50" customFormat="1" ht="15" customHeight="1" x14ac:dyDescent="0.2">
      <c r="A92" s="124">
        <f t="shared" ref="A92:B92" si="42">A91+1</f>
        <v>24</v>
      </c>
      <c r="B92" s="124">
        <f t="shared" si="42"/>
        <v>2033</v>
      </c>
      <c r="C92" s="121">
        <f ca="1">IFERROR(IF(VALUE(RIGHT($B$82,2))&gt;$A92,0,AVERAGEIFS(Elec_On_Peak, 'Avoided AC'!$D:$D, $B92, 'Avoided AC'!$E:$E, "Summer") +
        INDEX(AEPS!$S$8:$S$37, MATCH($A92, 'General Inputs'!$F$3:$F$32, 0)) +
        OFFSET(DRIPE!$I$10, MATCH('Output (non-LI)'!$B92, DRIPE!$I$11:$I$30, 0), MATCH('Output (non-LI)'!$B$82, DRIPE!$J$10:$N$10, 0), 1, 1)),"Data Missing")</f>
        <v>108.34337801511182</v>
      </c>
      <c r="D92" s="15">
        <f ca="1">IFERROR(IF(VALUE(RIGHT($B$82,2))&gt;$A92,0,AVERAGEIFS(Elec_Off_Peak, 'Avoided AC'!$D:$D, $B92, 'Avoided AC'!$E:$E, "Summer") +
        INDEX(AEPS!$S$8:$S$37, MATCH($A92, 'General Inputs'!$F$3:$F$32, 0)) +
        OFFSET(DRIPE!$I$10, MATCH('Output (non-LI)'!$B92, DRIPE!$I$11:$I$30, 0), MATCH('Output (non-LI)'!$B$82, DRIPE!$J$10:$N$10, 0), 1, 1)),"Data Missing")</f>
        <v>77.74410712254533</v>
      </c>
      <c r="E92" s="15">
        <f ca="1">IFERROR(IF(VALUE(RIGHT($B$82,2))&gt;$A92,0,AVERAGEIFS(Elec_On_Peak, 'Avoided AC'!$D:$D, $B92, 'Avoided AC'!$E:$E, "Winter") +
        INDEX(AEPS!$S$8:$S$37, MATCH($A92, 'General Inputs'!$F$3:$F$32, 0)) +
        OFFSET(DRIPE!$I$10, MATCH('Output (non-LI)'!$B92, DRIPE!$I$11:$I$30, 0), MATCH('Output (non-LI)'!$B$82, DRIPE!$J$10:$N$10, 0), 1, 1)),"Data Missing")</f>
        <v>120.16909545670829</v>
      </c>
      <c r="F92" s="15">
        <f ca="1">IFERROR(IF(VALUE(RIGHT($B$82,2))&gt;$A92,0,AVERAGEIFS(Elec_Off_Peak, 'Avoided AC'!$D:$D, $B92, 'Avoided AC'!$E:$E, "Winter") +
        INDEX(AEPS!$S$8:$S$37, MATCH($A92, 'General Inputs'!$F$3:$F$32, 0)) +
        OFFSET(DRIPE!$I$10, MATCH('Output (non-LI)'!$B92, DRIPE!$I$11:$I$30, 0), MATCH('Output (non-LI)'!$B$82, DRIPE!$J$10:$N$10, 0), 1, 1)),"Data Missing")</f>
        <v>106.0045293638654</v>
      </c>
      <c r="G92" s="15">
        <f ca="1">IFERROR(IF(VALUE(RIGHT($B$82,2))&gt;$A92,0,AVERAGEIFS(Elec_On_Peak, 'Avoided AC'!$D:$D, $B92, 'Avoided AC'!$E:$E, "Shoulder") +
        INDEX(AEPS!$S$8:$S$37, MATCH($A92, 'General Inputs'!$F$3:$F$32, 0)) +
        OFFSET(DRIPE!$I$10, MATCH('Output (non-LI)'!$B92, DRIPE!$I$11:$I$30, 0), MATCH('Output (non-LI)'!$B$82, DRIPE!$J$10:$N$10, 0), 1, 1)),"Data Missing")</f>
        <v>95.003530750927453</v>
      </c>
      <c r="H92" s="15">
        <f ca="1">IFERROR(IF(VALUE(RIGHT($B$82,2))&gt;$A92,0,AVERAGEIFS(Elec_Off_Peak, 'Avoided AC'!$D:$D, $B92, 'Avoided AC'!$E:$E, "Shoulder") +
        INDEX(AEPS!$S$8:$S$37, MATCH($A92, 'General Inputs'!$F$3:$F$32, 0)) +
        OFFSET(DRIPE!$I$10, MATCH('Output (non-LI)'!$B92, DRIPE!$I$11:$I$30, 0), MATCH('Output (non-LI)'!$B$82, DRIPE!$J$10:$N$10, 0), 1, 1)),"Data Missing")</f>
        <v>81.551311581423562</v>
      </c>
      <c r="I92" s="15">
        <f ca="1">(IF(VALUE(RIGHT($B$82,2))&gt;$A92,0,INDEX('Generation Capacity'!$E$27:$K$48,MATCH($A92,'Generation Capacity'!$B$27:$B$48,FALSE),MATCH(EDC_NAME,'Generation Capacity'!$E$26:$K$26,FALSE))+
        OFFSET(DRIPE!$B$35,MATCH('Output (non-LI)'!$B92,DRIPE!$B$11:$B$30,0),MATCH('Output (non-LI)'!$B$82,DRIPE!$C$10:$G$10,0),1,1)))</f>
        <v>42.89928147161887</v>
      </c>
      <c r="J92" s="15">
        <f ca="1">(IF(VALUE(RIGHT($B$82,2))&gt;$A92,0,INDEX('Generation Capacity'!$E$27:$K$48,MATCH($A92,'Generation Capacity'!$B$27:$B$48,FALSE),MATCH(EDC_NAME,'Generation Capacity'!$E$26:$K$26,FALSE))+
        OFFSET(DRIPE!$I$35,MATCH('Output (non-LI)'!$B92,DRIPE!$B$11:$B$30,0),MATCH('Output (non-LI)'!$B$82,DRIPE!$C$10:$G$10,0),1,1)))</f>
        <v>42.89928147161887</v>
      </c>
      <c r="K92" s="15">
        <f ca="1">IFERROR(IF(VALUE(RIGHT($B$82,2))&gt;$A92,0,INDEX('T&amp;D Capacity'!$E$4:$K$23,MATCH($A92,'T&amp;D Capacity'!$B$4:$B$23,FALSE),MATCH(EDC_NAME,'T&amp;D Capacity'!$E$3:$K$3,FALSE))),0)</f>
        <v>9.9846657821396683</v>
      </c>
      <c r="L92" s="15">
        <f ca="1">IFERROR(IF(VALUE(RIGHT($B$82,2))&gt;$A92,0,INDEX('T&amp;D Capacity'!$E$28:$K$47,MATCH($A92,'T&amp;D Capacity'!$B$28:$B$47,FALSE),MATCH(EDC_NAME,'T&amp;D Capacity'!$E$27:$K$27,FALSE))),0)</f>
        <v>9.9846657821396683</v>
      </c>
      <c r="M92" s="15">
        <f ca="1">IFERROR(IF(VALUE(RIGHT($B$82,2))&gt;$A92,0,INDEX('T&amp;D Capacity'!$M$4:$S$23,MATCH($A92,'T&amp;D Capacity'!$B$4:$B$23,FALSE),MATCH(EDC_NAME,'T&amp;D Capacity'!$M$3:$S$3,FALSE))),0)</f>
        <v>64.798054985164484</v>
      </c>
      <c r="N92" s="15">
        <f ca="1">IFERROR(IF(VALUE(RIGHT($B$82,2))&gt;$A92,0,INDEX('T&amp;D Capacity'!$M$28:$S$47,MATCH($A92,'T&amp;D Capacity'!$B$28:$B$47,FALSE),MATCH(EDC_NAME,'T&amp;D Capacity'!$M$27:$S$27,FALSE))),0)</f>
        <v>9.396166880676569</v>
      </c>
      <c r="O92" s="16">
        <f>IFERROR(IF(VALUE(RIGHT($B$82,2))&gt;$A92,0,IFERROR(AVERAGEIF('NG Futures'!$E:$E,$B92,'NG Futures'!$I:$I),"Data Missing")),0)</f>
        <v>3.6808695479745581</v>
      </c>
      <c r="P92" s="321"/>
    </row>
    <row r="93" spans="1:16" s="50" customFormat="1" ht="15" customHeight="1" x14ac:dyDescent="0.2">
      <c r="A93" s="124">
        <f t="shared" ref="A93:B93" si="43">A92+1</f>
        <v>25</v>
      </c>
      <c r="B93" s="124">
        <f t="shared" si="43"/>
        <v>2034</v>
      </c>
      <c r="C93" s="121">
        <f ca="1">IFERROR(IF(VALUE(RIGHT($B$82,2))&gt;$A93,0,AVERAGEIFS(Elec_On_Peak, 'Avoided AC'!$D:$D, $B93, 'Avoided AC'!$E:$E, "Summer") +
        INDEX(AEPS!$S$8:$S$37, MATCH($A93, 'General Inputs'!$F$3:$F$32, 0)) +
        OFFSET(DRIPE!$I$10, MATCH('Output (non-LI)'!$B93, DRIPE!$I$11:$I$30, 0), MATCH('Output (non-LI)'!$B$82, DRIPE!$J$10:$N$10, 0), 1, 1)),"Data Missing")</f>
        <v>79.14252965970276</v>
      </c>
      <c r="D93" s="15">
        <f ca="1">IFERROR(IF(VALUE(RIGHT($B$82,2))&gt;$A93,0,AVERAGEIFS(Elec_Off_Peak, 'Avoided AC'!$D:$D, $B93, 'Avoided AC'!$E:$E, "Summer") +
        INDEX(AEPS!$S$8:$S$37, MATCH($A93, 'General Inputs'!$F$3:$F$32, 0)) +
        OFFSET(DRIPE!$I$10, MATCH('Output (non-LI)'!$B93, DRIPE!$I$11:$I$30, 0), MATCH('Output (non-LI)'!$B$82, DRIPE!$J$10:$N$10, 0), 1, 1)),"Data Missing")</f>
        <v>47.692048713186267</v>
      </c>
      <c r="E93" s="15">
        <f ca="1">IFERROR(IF(VALUE(RIGHT($B$82,2))&gt;$A93,0,AVERAGEIFS(Elec_On_Peak, 'Avoided AC'!$D:$D, $B93, 'Avoided AC'!$E:$E, "Winter") +
        INDEX(AEPS!$S$8:$S$37, MATCH($A93, 'General Inputs'!$F$3:$F$32, 0)) +
        OFFSET(DRIPE!$I$10, MATCH('Output (non-LI)'!$B93, DRIPE!$I$11:$I$30, 0), MATCH('Output (non-LI)'!$B$82, DRIPE!$J$10:$N$10, 0), 1, 1)),"Data Missing")</f>
        <v>93.471194924770529</v>
      </c>
      <c r="F93" s="15">
        <f ca="1">IFERROR(IF(VALUE(RIGHT($B$82,2))&gt;$A93,0,AVERAGEIFS(Elec_Off_Peak, 'Avoided AC'!$D:$D, $B93, 'Avoided AC'!$E:$E, "Winter") +
        INDEX(AEPS!$S$8:$S$37, MATCH($A93, 'General Inputs'!$F$3:$F$32, 0)) +
        OFFSET(DRIPE!$I$10, MATCH('Output (non-LI)'!$B93, DRIPE!$I$11:$I$30, 0), MATCH('Output (non-LI)'!$B$82, DRIPE!$J$10:$N$10, 0), 1, 1)),"Data Missing")</f>
        <v>77.676169201749133</v>
      </c>
      <c r="G93" s="15">
        <f ca="1">IFERROR(IF(VALUE(RIGHT($B$82,2))&gt;$A93,0,AVERAGEIFS(Elec_On_Peak, 'Avoided AC'!$D:$D, $B93, 'Avoided AC'!$E:$E, "Shoulder") +
        INDEX(AEPS!$S$8:$S$37, MATCH($A93, 'General Inputs'!$F$3:$F$32, 0)) +
        OFFSET(DRIPE!$I$10, MATCH('Output (non-LI)'!$B93, DRIPE!$I$11:$I$30, 0), MATCH('Output (non-LI)'!$B$82, DRIPE!$J$10:$N$10, 0), 1, 1)),"Data Missing")</f>
        <v>66.126633394468271</v>
      </c>
      <c r="H93" s="15">
        <f ca="1">IFERROR(IF(VALUE(RIGHT($B$82,2))&gt;$A93,0,AVERAGEIFS(Elec_Off_Peak, 'Avoided AC'!$D:$D, $B93, 'Avoided AC'!$E:$E, "Shoulder") +
        INDEX(AEPS!$S$8:$S$37, MATCH($A93, 'General Inputs'!$F$3:$F$32, 0)) +
        OFFSET(DRIPE!$I$10, MATCH('Output (non-LI)'!$B93, DRIPE!$I$11:$I$30, 0), MATCH('Output (non-LI)'!$B$82, DRIPE!$J$10:$N$10, 0), 1, 1)),"Data Missing")</f>
        <v>51.722347622474587</v>
      </c>
      <c r="I93" s="15">
        <f ca="1">(IF(VALUE(RIGHT($B$82,2))&gt;$A93,0,INDEX('Generation Capacity'!$E$27:$K$48,MATCH($A93,'Generation Capacity'!$B$27:$B$48,FALSE),MATCH(EDC_NAME,'Generation Capacity'!$E$26:$K$26,FALSE))+
        OFFSET(DRIPE!$B$35,MATCH('Output (non-LI)'!$B93,DRIPE!$B$11:$B$30,0),MATCH('Output (non-LI)'!$B$82,DRIPE!$C$10:$G$10,0),1,1)))</f>
        <v>29.395871077277739</v>
      </c>
      <c r="J93" s="15">
        <f ca="1">(IF(VALUE(RIGHT($B$82,2))&gt;$A93,0,INDEX('Generation Capacity'!$E$27:$K$48,MATCH($A93,'Generation Capacity'!$B$27:$B$48,FALSE),MATCH(EDC_NAME,'Generation Capacity'!$E$26:$K$26,FALSE))+
        OFFSET(DRIPE!$I$35,MATCH('Output (non-LI)'!$B93,DRIPE!$B$11:$B$30,0),MATCH('Output (non-LI)'!$B$82,DRIPE!$C$10:$G$10,0),1,1)))</f>
        <v>29.395871077277739</v>
      </c>
      <c r="K93" s="15">
        <f ca="1">IFERROR(IF(VALUE(RIGHT($B$82,2))&gt;$A93,0,INDEX('T&amp;D Capacity'!$E$4:$K$23,MATCH($A93,'T&amp;D Capacity'!$B$4:$B$23,FALSE),MATCH(EDC_NAME,'T&amp;D Capacity'!$E$3:$K$3,FALSE))),0)</f>
        <v>10.191502464071213</v>
      </c>
      <c r="L93" s="15">
        <f ca="1">IFERROR(IF(VALUE(RIGHT($B$82,2))&gt;$A93,0,INDEX('T&amp;D Capacity'!$E$28:$K$47,MATCH($A93,'T&amp;D Capacity'!$B$28:$B$47,FALSE),MATCH(EDC_NAME,'T&amp;D Capacity'!$E$27:$K$27,FALSE))),0)</f>
        <v>10.191502464071213</v>
      </c>
      <c r="M93" s="15">
        <f ca="1">IFERROR(IF(VALUE(RIGHT($B$82,2))&gt;$A93,0,INDEX('T&amp;D Capacity'!$M$4:$S$23,MATCH($A93,'T&amp;D Capacity'!$B$4:$B$23,FALSE),MATCH(EDC_NAME,'T&amp;D Capacity'!$M$3:$S$3,FALSE))),0)</f>
        <v>66.140374796481908</v>
      </c>
      <c r="N93" s="15">
        <f ca="1">IFERROR(IF(VALUE(RIGHT($B$82,2))&gt;$A93,0,INDEX('T&amp;D Capacity'!$M$28:$S$47,MATCH($A93,'T&amp;D Capacity'!$B$28:$B$47,FALSE),MATCH(EDC_NAME,'T&amp;D Capacity'!$M$27:$S$27,FALSE))),0)</f>
        <v>9.5908125526379333</v>
      </c>
      <c r="O93" s="16">
        <f>IFERROR(IF(VALUE(RIGHT($B$82,2))&gt;$A93,0,IFERROR(AVERAGEIF('NG Futures'!$E:$E,$B93,'NG Futures'!$I:$I),"Data Missing")),0)</f>
        <v>3.9952671302460749</v>
      </c>
      <c r="P93" s="321"/>
    </row>
    <row r="94" spans="1:16" s="50" customFormat="1" ht="15" customHeight="1" x14ac:dyDescent="0.2">
      <c r="A94" s="124">
        <f t="shared" ref="A94:B94" si="44">A93+1</f>
        <v>26</v>
      </c>
      <c r="B94" s="124">
        <f t="shared" si="44"/>
        <v>2035</v>
      </c>
      <c r="C94" s="121">
        <f ca="1">IFERROR(IF(VALUE(RIGHT($B$82,2))&gt;$A94,0,AVERAGEIFS(Elec_On_Peak, 'Avoided AC'!$D:$D, $B94, 'Avoided AC'!$E:$E, "Summer") +
        INDEX(AEPS!$S$8:$S$37, MATCH($A94, 'General Inputs'!$F$3:$F$32, 0)) +
        OFFSET(DRIPE!$I$10, MATCH('Output (non-LI)'!$B94, DRIPE!$I$11:$I$30, 0), MATCH('Output (non-LI)'!$B$82, DRIPE!$J$10:$N$10, 0), 1, 1)),"Data Missing")</f>
        <v>81.931582500549922</v>
      </c>
      <c r="D94" s="15">
        <f ca="1">IFERROR(IF(VALUE(RIGHT($B$82,2))&gt;$A94,0,AVERAGEIFS(Elec_Off_Peak, 'Avoided AC'!$D:$D, $B94, 'Avoided AC'!$E:$E, "Summer") +
        INDEX(AEPS!$S$8:$S$37, MATCH($A94, 'General Inputs'!$F$3:$F$32, 0)) +
        OFFSET(DRIPE!$I$10, MATCH('Output (non-LI)'!$B94, DRIPE!$I$11:$I$30, 0), MATCH('Output (non-LI)'!$B$82, DRIPE!$J$10:$N$10, 0), 1, 1)),"Data Missing")</f>
        <v>49.662021082051282</v>
      </c>
      <c r="E94" s="15">
        <f ca="1">IFERROR(IF(VALUE(RIGHT($B$82,2))&gt;$A94,0,AVERAGEIFS(Elec_On_Peak, 'Avoided AC'!$D:$D, $B94, 'Avoided AC'!$E:$E, "Winter") +
        INDEX(AEPS!$S$8:$S$37, MATCH($A94, 'General Inputs'!$F$3:$F$32, 0)) +
        OFFSET(DRIPE!$I$10, MATCH('Output (non-LI)'!$B94, DRIPE!$I$11:$I$30, 0), MATCH('Output (non-LI)'!$B$82, DRIPE!$J$10:$N$10, 0), 1, 1)),"Data Missing")</f>
        <v>98.520653422665092</v>
      </c>
      <c r="F94" s="15">
        <f ca="1">IFERROR(IF(VALUE(RIGHT($B$82,2))&gt;$A94,0,AVERAGEIFS(Elec_Off_Peak, 'Avoided AC'!$D:$D, $B94, 'Avoided AC'!$E:$E, "Winter") +
        INDEX(AEPS!$S$8:$S$37, MATCH($A94, 'General Inputs'!$F$3:$F$32, 0)) +
        OFFSET(DRIPE!$I$10, MATCH('Output (non-LI)'!$B94, DRIPE!$I$11:$I$30, 0), MATCH('Output (non-LI)'!$B$82, DRIPE!$J$10:$N$10, 0), 1, 1)),"Data Missing")</f>
        <v>81.202808965984232</v>
      </c>
      <c r="G94" s="15">
        <f ca="1">IFERROR(IF(VALUE(RIGHT($B$82,2))&gt;$A94,0,AVERAGEIFS(Elec_On_Peak, 'Avoided AC'!$D:$D, $B94, 'Avoided AC'!$E:$E, "Shoulder") +
        INDEX(AEPS!$S$8:$S$37, MATCH($A94, 'General Inputs'!$F$3:$F$32, 0)) +
        OFFSET(DRIPE!$I$10, MATCH('Output (non-LI)'!$B94, DRIPE!$I$11:$I$30, 0), MATCH('Output (non-LI)'!$B$82, DRIPE!$J$10:$N$10, 0), 1, 1)),"Data Missing")</f>
        <v>69.337733057302913</v>
      </c>
      <c r="H94" s="15">
        <f ca="1">IFERROR(IF(VALUE(RIGHT($B$82,2))&gt;$A94,0,AVERAGEIFS(Elec_Off_Peak, 'Avoided AC'!$D:$D, $B94, 'Avoided AC'!$E:$E, "Shoulder") +
        INDEX(AEPS!$S$8:$S$37, MATCH($A94, 'General Inputs'!$F$3:$F$32, 0)) +
        OFFSET(DRIPE!$I$10, MATCH('Output (non-LI)'!$B94, DRIPE!$I$11:$I$30, 0), MATCH('Output (non-LI)'!$B$82, DRIPE!$J$10:$N$10, 0), 1, 1)),"Data Missing")</f>
        <v>53.982969824505226</v>
      </c>
      <c r="I94" s="15">
        <f ca="1">(IF(VALUE(RIGHT($B$82,2))&gt;$A94,0,INDEX('Generation Capacity'!$E$27:$K$48,MATCH($A94,'Generation Capacity'!$B$27:$B$48,FALSE),MATCH(EDC_NAME,'Generation Capacity'!$E$26:$K$26,FALSE))+
        OFFSET(DRIPE!$B$35,MATCH('Output (non-LI)'!$B94,DRIPE!$B$11:$B$30,0),MATCH('Output (non-LI)'!$B$82,DRIPE!$C$10:$G$10,0),1,1)))</f>
        <v>30.004819295353062</v>
      </c>
      <c r="J94" s="15">
        <f ca="1">(IF(VALUE(RIGHT($B$82,2))&gt;$A94,0,INDEX('Generation Capacity'!$E$27:$K$48,MATCH($A94,'Generation Capacity'!$B$27:$B$48,FALSE),MATCH(EDC_NAME,'Generation Capacity'!$E$26:$K$26,FALSE))+
        OFFSET(DRIPE!$I$35,MATCH('Output (non-LI)'!$B94,DRIPE!$B$11:$B$30,0),MATCH('Output (non-LI)'!$B$82,DRIPE!$C$10:$G$10,0),1,1)))</f>
        <v>30.004819295353062</v>
      </c>
      <c r="K94" s="15">
        <f ca="1">IFERROR(IF(VALUE(RIGHT($B$82,2))&gt;$A94,0,INDEX('T&amp;D Capacity'!$E$4:$K$23,MATCH($A94,'T&amp;D Capacity'!$B$4:$B$23,FALSE),MATCH(EDC_NAME,'T&amp;D Capacity'!$E$3:$K$3,FALSE))),0)</f>
        <v>10.402623857572072</v>
      </c>
      <c r="L94" s="15">
        <f ca="1">IFERROR(IF(VALUE(RIGHT($B$82,2))&gt;$A94,0,INDEX('T&amp;D Capacity'!$E$28:$K$47,MATCH($A94,'T&amp;D Capacity'!$B$28:$B$47,FALSE),MATCH(EDC_NAME,'T&amp;D Capacity'!$E$27:$K$27,FALSE))),0)</f>
        <v>10.402623857572072</v>
      </c>
      <c r="M94" s="15">
        <f ca="1">IFERROR(IF(VALUE(RIGHT($B$82,2))&gt;$A94,0,INDEX('T&amp;D Capacity'!$M$4:$S$23,MATCH($A94,'T&amp;D Capacity'!$B$4:$B$23,FALSE),MATCH(EDC_NAME,'T&amp;D Capacity'!$M$3:$S$3,FALSE))),0)</f>
        <v>67.510501344842098</v>
      </c>
      <c r="N94" s="15">
        <f ca="1">IFERROR(IF(VALUE(RIGHT($B$82,2))&gt;$A94,0,INDEX('T&amp;D Capacity'!$M$28:$S$47,MATCH($A94,'T&amp;D Capacity'!$B$28:$B$47,FALSE),MATCH(EDC_NAME,'T&amp;D Capacity'!$M$27:$S$27,FALSE))),0)</f>
        <v>9.7894903941099525</v>
      </c>
      <c r="O94" s="16">
        <f>IFERROR(IF(VALUE(RIGHT($B$82,2))&gt;$A94,0,IFERROR(AVERAGEIF('NG Futures'!$E:$E,$B94,'NG Futures'!$I:$I),"Data Missing")),0)</f>
        <v>4.297775585014695</v>
      </c>
      <c r="P94" s="321"/>
    </row>
    <row r="95" spans="1:16" s="50" customFormat="1" ht="15" customHeight="1" x14ac:dyDescent="0.2">
      <c r="A95" s="124">
        <f t="shared" ref="A95:B95" si="45">A94+1</f>
        <v>27</v>
      </c>
      <c r="B95" s="124">
        <f t="shared" si="45"/>
        <v>2036</v>
      </c>
      <c r="C95" s="121">
        <f ca="1">IFERROR(IF(VALUE(RIGHT($B$82,2))&gt;$A95,0,AVERAGEIFS(Elec_On_Peak, 'Avoided AC'!$D:$D, $B95, 'Avoided AC'!$E:$E, "Summer") +
        INDEX(AEPS!$S$8:$S$37, MATCH($A95, 'General Inputs'!$F$3:$F$32, 0)) +
        OFFSET(DRIPE!$I$10, MATCH('Output (non-LI)'!$B95, DRIPE!$I$11:$I$30, 0), MATCH('Output (non-LI)'!$B$82, DRIPE!$J$10:$N$10, 0), 1, 1)),"Data Missing")</f>
        <v>84.516854392089215</v>
      </c>
      <c r="D95" s="15">
        <f ca="1">IFERROR(IF(VALUE(RIGHT($B$82,2))&gt;$A95,0,AVERAGEIFS(Elec_Off_Peak, 'Avoided AC'!$D:$D, $B95, 'Avoided AC'!$E:$E, "Summer") +
        INDEX(AEPS!$S$8:$S$37, MATCH($A95, 'General Inputs'!$F$3:$F$32, 0)) +
        OFFSET(DRIPE!$I$10, MATCH('Output (non-LI)'!$B95, DRIPE!$I$11:$I$30, 0), MATCH('Output (non-LI)'!$B$82, DRIPE!$J$10:$N$10, 0), 1, 1)),"Data Missing")</f>
        <v>51.492641039859841</v>
      </c>
      <c r="E95" s="15">
        <f ca="1">IFERROR(IF(VALUE(RIGHT($B$82,2))&gt;$A95,0,AVERAGEIFS(Elec_On_Peak, 'Avoided AC'!$D:$D, $B95, 'Avoided AC'!$E:$E, "Winter") +
        INDEX(AEPS!$S$8:$S$37, MATCH($A95, 'General Inputs'!$F$3:$F$32, 0)) +
        OFFSET(DRIPE!$I$10, MATCH('Output (non-LI)'!$B95, DRIPE!$I$11:$I$30, 0), MATCH('Output (non-LI)'!$B$82, DRIPE!$J$10:$N$10, 0), 1, 1)),"Data Missing")</f>
        <v>103.08041583716579</v>
      </c>
      <c r="F95" s="15">
        <f ca="1">IFERROR(IF(VALUE(RIGHT($B$82,2))&gt;$A95,0,AVERAGEIFS(Elec_Off_Peak, 'Avoided AC'!$D:$D, $B95, 'Avoided AC'!$E:$E, "Winter") +
        INDEX(AEPS!$S$8:$S$37, MATCH($A95, 'General Inputs'!$F$3:$F$32, 0)) +
        OFFSET(DRIPE!$I$10, MATCH('Output (non-LI)'!$B95, DRIPE!$I$11:$I$30, 0), MATCH('Output (non-LI)'!$B$82, DRIPE!$J$10:$N$10, 0), 1, 1)),"Data Missing")</f>
        <v>84.393195924011735</v>
      </c>
      <c r="G95" s="15">
        <f ca="1">IFERROR(IF(VALUE(RIGHT($B$82,2))&gt;$A95,0,AVERAGEIFS(Elec_On_Peak, 'Avoided AC'!$D:$D, $B95, 'Avoided AC'!$E:$E, "Shoulder") +
        INDEX(AEPS!$S$8:$S$37, MATCH($A95, 'General Inputs'!$F$3:$F$32, 0)) +
        OFFSET(DRIPE!$I$10, MATCH('Output (non-LI)'!$B95, DRIPE!$I$11:$I$30, 0), MATCH('Output (non-LI)'!$B$82, DRIPE!$J$10:$N$10, 0), 1, 1)),"Data Missing")</f>
        <v>72.077429177743937</v>
      </c>
      <c r="H95" s="15">
        <f ca="1">IFERROR(IF(VALUE(RIGHT($B$82,2))&gt;$A95,0,AVERAGEIFS(Elec_Off_Peak, 'Avoided AC'!$D:$D, $B95, 'Avoided AC'!$E:$E, "Shoulder") +
        INDEX(AEPS!$S$8:$S$37, MATCH($A95, 'General Inputs'!$F$3:$F$32, 0)) +
        OFFSET(DRIPE!$I$10, MATCH('Output (non-LI)'!$B95, DRIPE!$I$11:$I$30, 0), MATCH('Output (non-LI)'!$B$82, DRIPE!$J$10:$N$10, 0), 1, 1)),"Data Missing")</f>
        <v>55.919936694619999</v>
      </c>
      <c r="I95" s="15">
        <f ca="1">(IF(VALUE(RIGHT($B$82,2))&gt;$A95,0,INDEX('Generation Capacity'!$E$27:$K$48,MATCH($A95,'Generation Capacity'!$B$27:$B$48,FALSE),MATCH(EDC_NAME,'Generation Capacity'!$E$26:$K$26,FALSE))+
        OFFSET(DRIPE!$B$35,MATCH('Output (non-LI)'!$B95,DRIPE!$B$11:$B$30,0),MATCH('Output (non-LI)'!$B$82,DRIPE!$C$10:$G$10,0),1,1)))</f>
        <v>30.626382139860866</v>
      </c>
      <c r="J95" s="15">
        <f ca="1">(IF(VALUE(RIGHT($B$82,2))&gt;$A95,0,INDEX('Generation Capacity'!$E$27:$K$48,MATCH($A95,'Generation Capacity'!$B$27:$B$48,FALSE),MATCH(EDC_NAME,'Generation Capacity'!$E$26:$K$26,FALSE))+
        OFFSET(DRIPE!$I$35,MATCH('Output (non-LI)'!$B95,DRIPE!$B$11:$B$30,0),MATCH('Output (non-LI)'!$B$82,DRIPE!$C$10:$G$10,0),1,1)))</f>
        <v>30.626382139860866</v>
      </c>
      <c r="K95" s="15">
        <f ca="1">IFERROR(IF(VALUE(RIGHT($B$82,2))&gt;$A95,0,INDEX('T&amp;D Capacity'!$E$4:$K$23,MATCH($A95,'T&amp;D Capacity'!$B$4:$B$23,FALSE),MATCH(EDC_NAME,'T&amp;D Capacity'!$E$3:$K$3,FALSE))),0)</f>
        <v>10.61811872230064</v>
      </c>
      <c r="L95" s="15">
        <f ca="1">IFERROR(IF(VALUE(RIGHT($B$82,2))&gt;$A95,0,INDEX('T&amp;D Capacity'!$E$28:$K$47,MATCH($A95,'T&amp;D Capacity'!$B$28:$B$47,FALSE),MATCH(EDC_NAME,'T&amp;D Capacity'!$E$27:$K$27,FALSE))),0)</f>
        <v>10.61811872230064</v>
      </c>
      <c r="M95" s="15">
        <f ca="1">IFERROR(IF(VALUE(RIGHT($B$82,2))&gt;$A95,0,INDEX('T&amp;D Capacity'!$M$4:$S$23,MATCH($A95,'T&amp;D Capacity'!$B$4:$B$23,FALSE),MATCH(EDC_NAME,'T&amp;D Capacity'!$M$3:$S$3,FALSE))),0)</f>
        <v>68.909010658862414</v>
      </c>
      <c r="N95" s="15">
        <f ca="1">IFERROR(IF(VALUE(RIGHT($B$82,2))&gt;$A95,0,INDEX('T&amp;D Capacity'!$M$28:$S$47,MATCH($A95,'T&amp;D Capacity'!$B$28:$B$47,FALSE),MATCH(EDC_NAME,'T&amp;D Capacity'!$M$27:$S$27,FALSE))),0)</f>
        <v>9.9922839332327538</v>
      </c>
      <c r="O95" s="16">
        <f>IFERROR(IF(VALUE(RIGHT($B$82,2))&gt;$A95,0,IFERROR(AVERAGEIF('NG Futures'!$E:$E,$B95,'NG Futures'!$I:$I),"Data Missing")),0)</f>
        <v>4.5669539736620006</v>
      </c>
      <c r="P95" s="322"/>
    </row>
    <row r="96" spans="1:16" s="50" customFormat="1" ht="15" customHeight="1" x14ac:dyDescent="0.2">
      <c r="A96" s="124">
        <f t="shared" ref="A96:B96" si="46">A95+1</f>
        <v>28</v>
      </c>
      <c r="B96" s="124">
        <f t="shared" si="46"/>
        <v>2037</v>
      </c>
      <c r="C96" s="122">
        <f ca="1">IFERROR(IF(VALUE(RIGHT($B$82,2))&gt;$A96,0,AVERAGEIFS(Elec_On_Peak, 'Avoided AC'!$D:$D, $B96, 'Avoided AC'!$E:$E, "Summer") +
        INDEX(AEPS!$S$8:$S$37, MATCH($A96, 'General Inputs'!$F$3:$F$32, 0)) +
        OFFSET(DRIPE!$I$10, MATCH('Output (non-LI)'!$B96, DRIPE!$I$11:$I$30, 0), MATCH('Output (non-LI)'!$B$82, DRIPE!$J$10:$N$10, 0), 1, 1)),"Data Missing")</f>
        <v>86.081181235321466</v>
      </c>
      <c r="D96" s="17">
        <f ca="1">IFERROR(IF(VALUE(RIGHT($B$82,2))&gt;$A96,0,AVERAGEIFS(Elec_Off_Peak, 'Avoided AC'!$D:$D, $B96, 'Avoided AC'!$E:$E, "Summer") +
        INDEX(AEPS!$S$8:$S$37, MATCH($A96, 'General Inputs'!$F$3:$F$32, 0)) +
        OFFSET(DRIPE!$I$10, MATCH('Output (non-LI)'!$B96, DRIPE!$I$11:$I$30, 0), MATCH('Output (non-LI)'!$B$82, DRIPE!$J$10:$N$10, 0), 1, 1)),"Data Missing")</f>
        <v>52.621174113714616</v>
      </c>
      <c r="E96" s="17">
        <f ca="1">IFERROR(IF(VALUE(RIGHT($B$82,2))&gt;$A96,0,AVERAGEIFS(Elec_On_Peak, 'Avoided AC'!$D:$D, $B96, 'Avoided AC'!$E:$E, "Winter") +
        INDEX(AEPS!$S$8:$S$37, MATCH($A96, 'General Inputs'!$F$3:$F$32, 0)) +
        OFFSET(DRIPE!$I$10, MATCH('Output (non-LI)'!$B96, DRIPE!$I$11:$I$30, 0), MATCH('Output (non-LI)'!$B$82, DRIPE!$J$10:$N$10, 0), 1, 1)),"Data Missing")</f>
        <v>106.26257643562121</v>
      </c>
      <c r="F96" s="17">
        <f ca="1">IFERROR(IF(VALUE(RIGHT($B$82,2))&gt;$A96,0,AVERAGEIFS(Elec_Off_Peak, 'Avoided AC'!$D:$D, $B96, 'Avoided AC'!$E:$E, "Winter") +
        INDEX(AEPS!$S$8:$S$37, MATCH($A96, 'General Inputs'!$F$3:$F$32, 0)) +
        OFFSET(DRIPE!$I$10, MATCH('Output (non-LI)'!$B96, DRIPE!$I$11:$I$30, 0), MATCH('Output (non-LI)'!$B$82, DRIPE!$J$10:$N$10, 0), 1, 1)),"Data Missing")</f>
        <v>86.635878155135345</v>
      </c>
      <c r="G96" s="17">
        <f ca="1">IFERROR(IF(VALUE(RIGHT($B$82,2))&gt;$A96,0,AVERAGEIFS(Elec_On_Peak, 'Avoided AC'!$D:$D, $B96, 'Avoided AC'!$E:$E, "Shoulder") +
        INDEX(AEPS!$S$8:$S$37, MATCH($A96, 'General Inputs'!$F$3:$F$32, 0)) +
        OFFSET(DRIPE!$I$10, MATCH('Output (non-LI)'!$B96, DRIPE!$I$11:$I$30, 0), MATCH('Output (non-LI)'!$B$82, DRIPE!$J$10:$N$10, 0), 1, 1)),"Data Missing")</f>
        <v>73.788927663757889</v>
      </c>
      <c r="H96" s="17">
        <f ca="1">IFERROR(IF(VALUE(RIGHT($B$82,2))&gt;$A96,0,AVERAGEIFS(Elec_Off_Peak, 'Avoided AC'!$D:$D, $B96, 'Avoided AC'!$E:$E, "Shoulder") +
        INDEX(AEPS!$S$8:$S$37, MATCH($A96, 'General Inputs'!$F$3:$F$32, 0)) +
        OFFSET(DRIPE!$I$10, MATCH('Output (non-LI)'!$B96, DRIPE!$I$11:$I$30, 0), MATCH('Output (non-LI)'!$B$82, DRIPE!$J$10:$N$10, 0), 1, 1)),"Data Missing")</f>
        <v>57.149822062089441</v>
      </c>
      <c r="I96" s="17">
        <f ca="1">(IF(VALUE(RIGHT($B$82,2))&gt;$A96,0,INDEX('Generation Capacity'!$E$27:$K$48,MATCH($A96,'Generation Capacity'!$B$27:$B$48,FALSE),MATCH(EDC_NAME,'Generation Capacity'!$E$26:$K$26,FALSE))+
        OFFSET(DRIPE!$B$35,MATCH('Output (non-LI)'!$B96,DRIPE!$B$11:$B$30,0),MATCH('Output (non-LI)'!$B$82,DRIPE!$C$10:$G$10,0),1,1)))</f>
        <v>31.260820928258536</v>
      </c>
      <c r="J96" s="17">
        <f ca="1">(IF(VALUE(RIGHT($B$82,2))&gt;$A96,0,INDEX('Generation Capacity'!$E$27:$K$48,MATCH($A96,'Generation Capacity'!$B$27:$B$48,FALSE),MATCH(EDC_NAME,'Generation Capacity'!$E$26:$K$26,FALSE))+
        OFFSET(DRIPE!$I$35,MATCH('Output (non-LI)'!$B96,DRIPE!$B$11:$B$30,0),MATCH('Output (non-LI)'!$B$82,DRIPE!$C$10:$G$10,0),1,1)))</f>
        <v>31.260820928258536</v>
      </c>
      <c r="K96" s="17">
        <f ca="1">IFERROR(IF(VALUE(RIGHT($B$82,2))&gt;$A96,0,INDEX('T&amp;D Capacity'!$E$4:$K$23,MATCH($A96,'T&amp;D Capacity'!$B$4:$B$23,FALSE),MATCH(EDC_NAME,'T&amp;D Capacity'!$E$3:$K$3,FALSE))),0)</f>
        <v>10.838077656610132</v>
      </c>
      <c r="L96" s="17">
        <f ca="1">IFERROR(IF(VALUE(RIGHT($B$82,2))&gt;$A96,0,INDEX('T&amp;D Capacity'!$E$28:$K$47,MATCH($A96,'T&amp;D Capacity'!$B$28:$B$47,FALSE),MATCH(EDC_NAME,'T&amp;D Capacity'!$E$27:$K$27,FALSE))),0)</f>
        <v>10.838077656610132</v>
      </c>
      <c r="M96" s="17">
        <f ca="1">IFERROR(IF(VALUE(RIGHT($B$82,2))&gt;$A96,0,INDEX('T&amp;D Capacity'!$M$4:$S$23,MATCH($A96,'T&amp;D Capacity'!$B$4:$B$23,FALSE),MATCH(EDC_NAME,'T&amp;D Capacity'!$M$3:$S$3,FALSE))),0)</f>
        <v>70.336490699842841</v>
      </c>
      <c r="N96" s="17">
        <f ca="1">IFERROR(IF(VALUE(RIGHT($B$82,2))&gt;$A96,0,INDEX('T&amp;D Capacity'!$M$28:$S$47,MATCH($A96,'T&amp;D Capacity'!$B$28:$B$47,FALSE),MATCH(EDC_NAME,'T&amp;D Capacity'!$M$27:$S$27,FALSE))),0)</f>
        <v>10.199278428468112</v>
      </c>
      <c r="O96" s="18">
        <f>IFERROR(IF(VALUE(RIGHT($B$82,2))&gt;$A96,0,IFERROR(AVERAGEIF('NG Futures'!$E:$E,$B96,'NG Futures'!$I:$I),"Data Missing")),0)</f>
        <v>4.7349761155534029</v>
      </c>
      <c r="P96" s="323" t="s">
        <v>129</v>
      </c>
    </row>
    <row r="97" spans="1:16" s="50" customFormat="1" ht="15" customHeight="1" x14ac:dyDescent="0.2">
      <c r="A97" s="124">
        <f t="shared" ref="A97:B97" si="47">A96+1</f>
        <v>29</v>
      </c>
      <c r="B97" s="124">
        <f t="shared" si="47"/>
        <v>2038</v>
      </c>
      <c r="C97" s="122">
        <f ca="1">IFERROR(IF(VALUE(RIGHT($B$82,2))&gt;$A97,0,AVERAGEIFS(Elec_On_Peak, 'Avoided AC'!$D:$D, $B97, 'Avoided AC'!$E:$E, "Summer") +
        INDEX(AEPS!$S$8:$S$37, MATCH($A97, 'General Inputs'!$F$3:$F$32, 0)) +
        OFFSET(DRIPE!$I$10, MATCH('Output (non-LI)'!$B97, DRIPE!$I$11:$I$30, 0), MATCH('Output (non-LI)'!$B$82, DRIPE!$J$10:$N$10, 0), 1, 1)),"Data Missing")</f>
        <v>85.471926709319376</v>
      </c>
      <c r="D97" s="17">
        <f ca="1">IFERROR(IF(VALUE(RIGHT($B$82,2))&gt;$A97,0,AVERAGEIFS(Elec_Off_Peak, 'Avoided AC'!$D:$D, $B97, 'Avoided AC'!$E:$E, "Summer") +
        INDEX(AEPS!$S$8:$S$37, MATCH($A97, 'General Inputs'!$F$3:$F$32, 0)) +
        OFFSET(DRIPE!$I$10, MATCH('Output (non-LI)'!$B97, DRIPE!$I$11:$I$30, 0), MATCH('Output (non-LI)'!$B$82, DRIPE!$J$10:$N$10, 0), 1, 1)),"Data Missing")</f>
        <v>52.253857485063904</v>
      </c>
      <c r="E97" s="17">
        <f ca="1">IFERROR(IF(VALUE(RIGHT($B$82,2))&gt;$A97,0,AVERAGEIFS(Elec_On_Peak, 'Avoided AC'!$D:$D, $B97, 'Avoided AC'!$E:$E, "Winter") +
        INDEX(AEPS!$S$8:$S$37, MATCH($A97, 'General Inputs'!$F$3:$F$32, 0)) +
        OFFSET(DRIPE!$I$10, MATCH('Output (non-LI)'!$B97, DRIPE!$I$11:$I$30, 0), MATCH('Output (non-LI)'!$B$82, DRIPE!$J$10:$N$10, 0), 1, 1)),"Data Missing")</f>
        <v>104.53955523637298</v>
      </c>
      <c r="F97" s="17">
        <f ca="1">IFERROR(IF(VALUE(RIGHT($B$82,2))&gt;$A97,0,AVERAGEIFS(Elec_Off_Peak, 'Avoided AC'!$D:$D, $B97, 'Avoided AC'!$E:$E, "Winter") +
        INDEX(AEPS!$S$8:$S$37, MATCH($A97, 'General Inputs'!$F$3:$F$32, 0)) +
        OFFSET(DRIPE!$I$10, MATCH('Output (non-LI)'!$B97, DRIPE!$I$11:$I$30, 0), MATCH('Output (non-LI)'!$B$82, DRIPE!$J$10:$N$10, 0), 1, 1)),"Data Missing")</f>
        <v>85.501546871001608</v>
      </c>
      <c r="G97" s="17">
        <f ca="1">IFERROR(IF(VALUE(RIGHT($B$82,2))&gt;$A97,0,AVERAGEIFS(Elec_On_Peak, 'Avoided AC'!$D:$D, $B97, 'Avoided AC'!$E:$E, "Shoulder") +
        INDEX(AEPS!$S$8:$S$37, MATCH($A97, 'General Inputs'!$F$3:$F$32, 0)) +
        OFFSET(DRIPE!$I$10, MATCH('Output (non-LI)'!$B97, DRIPE!$I$11:$I$30, 0), MATCH('Output (non-LI)'!$B$82, DRIPE!$J$10:$N$10, 0), 1, 1)),"Data Missing")</f>
        <v>73.061660447706672</v>
      </c>
      <c r="H97" s="17">
        <f ca="1">IFERROR(IF(VALUE(RIGHT($B$82,2))&gt;$A97,0,AVERAGEIFS(Elec_Off_Peak, 'Avoided AC'!$D:$D, $B97, 'Avoided AC'!$E:$E, "Shoulder") +
        INDEX(AEPS!$S$8:$S$37, MATCH($A97, 'General Inputs'!$F$3:$F$32, 0)) +
        OFFSET(DRIPE!$I$10, MATCH('Output (non-LI)'!$B97, DRIPE!$I$11:$I$30, 0), MATCH('Output (non-LI)'!$B$82, DRIPE!$J$10:$N$10, 0), 1, 1)),"Data Missing")</f>
        <v>56.701233956229913</v>
      </c>
      <c r="I97" s="17">
        <f ca="1">(IF(VALUE(RIGHT($B$82,2))&gt;$A97,0,INDEX('Generation Capacity'!$E$27:$K$48,MATCH($A97,'Generation Capacity'!$B$27:$B$48,FALSE),MATCH(EDC_NAME,'Generation Capacity'!$E$26:$K$26,FALSE))+
        OFFSET(DRIPE!$B$35,MATCH('Output (non-LI)'!$B97,DRIPE!$B$11:$B$30,0),MATCH('Output (non-LI)'!$B$82,DRIPE!$C$10:$G$10,0),1,1)))</f>
        <v>31.908402391307927</v>
      </c>
      <c r="J97" s="17">
        <f ca="1">(IF(VALUE(RIGHT($B$82,2))&gt;$A97,0,INDEX('Generation Capacity'!$E$27:$K$48,MATCH($A97,'Generation Capacity'!$B$27:$B$48,FALSE),MATCH(EDC_NAME,'Generation Capacity'!$E$26:$K$26,FALSE))+
        OFFSET(DRIPE!$I$35,MATCH('Output (non-LI)'!$B97,DRIPE!$B$11:$B$30,0),MATCH('Output (non-LI)'!$B$82,DRIPE!$C$10:$G$10,0),1,1)))</f>
        <v>31.908402391307927</v>
      </c>
      <c r="K97" s="17">
        <f ca="1">IFERROR(IF(VALUE(RIGHT($B$82,2))&gt;$A97,0,INDEX('T&amp;D Capacity'!$E$4:$K$23,MATCH($A97,'T&amp;D Capacity'!$B$4:$B$23,FALSE),MATCH(EDC_NAME,'T&amp;D Capacity'!$E$3:$K$3,FALSE))),0)</f>
        <v>11.062593135637941</v>
      </c>
      <c r="L97" s="17">
        <f ca="1">IFERROR(IF(VALUE(RIGHT($B$82,2))&gt;$A97,0,INDEX('T&amp;D Capacity'!$E$28:$K$47,MATCH($A97,'T&amp;D Capacity'!$B$28:$B$47,FALSE),MATCH(EDC_NAME,'T&amp;D Capacity'!$E$27:$K$27,FALSE))),0)</f>
        <v>11.062593135637941</v>
      </c>
      <c r="M97" s="17">
        <f ca="1">IFERROR(IF(VALUE(RIGHT($B$82,2))&gt;$A97,0,INDEX('T&amp;D Capacity'!$M$4:$S$23,MATCH($A97,'T&amp;D Capacity'!$B$4:$B$23,FALSE),MATCH(EDC_NAME,'T&amp;D Capacity'!$M$3:$S$3,FALSE))),0)</f>
        <v>71.793541608956687</v>
      </c>
      <c r="N97" s="17">
        <f ca="1">IFERROR(IF(VALUE(RIGHT($B$82,2))&gt;$A97,0,INDEX('T&amp;D Capacity'!$M$28:$S$47,MATCH($A97,'T&amp;D Capacity'!$B$28:$B$47,FALSE),MATCH(EDC_NAME,'T&amp;D Capacity'!$M$27:$S$27,FALSE))),0)</f>
        <v>10.410560904443814</v>
      </c>
      <c r="O97" s="18">
        <f>IFERROR(IF(VALUE(RIGHT($B$82,2))&gt;$A97,0,IFERROR(AVERAGEIF('NG Futures'!$E:$E,$B97,'NG Futures'!$I:$I),"Data Missing")),0)</f>
        <v>4.6357120000208072</v>
      </c>
      <c r="P97" s="324"/>
    </row>
    <row r="98" spans="1:16" s="50" customFormat="1" ht="15" customHeight="1" x14ac:dyDescent="0.2">
      <c r="A98" s="124">
        <f t="shared" ref="A98:B98" si="48">A97+1</f>
        <v>30</v>
      </c>
      <c r="B98" s="124">
        <f t="shared" si="48"/>
        <v>2039</v>
      </c>
      <c r="C98" s="122">
        <f ca="1">IFERROR(IF(VALUE(RIGHT($B$82,2))&gt;$A98,0,AVERAGEIFS(Elec_On_Peak, 'Avoided AC'!$D:$D, $B98, 'Avoided AC'!$E:$E, "Summer") +
        INDEX(AEPS!$S$8:$S$37, MATCH($A98, 'General Inputs'!$F$3:$F$32, 0)) +
        OFFSET(DRIPE!$I$10, MATCH('Output (non-LI)'!$B98, DRIPE!$I$11:$I$30, 0), MATCH('Output (non-LI)'!$B$82, DRIPE!$J$10:$N$10, 0), 1, 1)),"Data Missing")</f>
        <v>85.054189195315658</v>
      </c>
      <c r="D98" s="17">
        <f ca="1">IFERROR(IF(VALUE(RIGHT($B$82,2))&gt;$A98,0,AVERAGEIFS(Elec_Off_Peak, 'Avoided AC'!$D:$D, $B98, 'Avoided AC'!$E:$E, "Summer") +
        INDEX(AEPS!$S$8:$S$37, MATCH($A98, 'General Inputs'!$F$3:$F$32, 0)) +
        OFFSET(DRIPE!$I$10, MATCH('Output (non-LI)'!$B98, DRIPE!$I$11:$I$30, 0), MATCH('Output (non-LI)'!$B$82, DRIPE!$J$10:$N$10, 0), 1, 1)),"Data Missing")</f>
        <v>52.019477494894559</v>
      </c>
      <c r="E98" s="17">
        <f ca="1">IFERROR(IF(VALUE(RIGHT($B$82,2))&gt;$A98,0,AVERAGEIFS(Elec_On_Peak, 'Avoided AC'!$D:$D, $B98, 'Avoided AC'!$E:$E, "Winter") +
        INDEX(AEPS!$S$8:$S$37, MATCH($A98, 'General Inputs'!$F$3:$F$32, 0)) +
        OFFSET(DRIPE!$I$10, MATCH('Output (non-LI)'!$B98, DRIPE!$I$11:$I$30, 0), MATCH('Output (non-LI)'!$B$82, DRIPE!$J$10:$N$10, 0), 1, 1)),"Data Missing")</f>
        <v>103.2777271455256</v>
      </c>
      <c r="F98" s="17">
        <f ca="1">IFERROR(IF(VALUE(RIGHT($B$82,2))&gt;$A98,0,AVERAGEIFS(Elec_Off_Peak, 'Avoided AC'!$D:$D, $B98, 'Avoided AC'!$E:$E, "Winter") +
        INDEX(AEPS!$S$8:$S$37, MATCH($A98, 'General Inputs'!$F$3:$F$32, 0)) +
        OFFSET(DRIPE!$I$10, MATCH('Output (non-LI)'!$B98, DRIPE!$I$11:$I$30, 0), MATCH('Output (non-LI)'!$B$82, DRIPE!$J$10:$N$10, 0), 1, 1)),"Data Missing")</f>
        <v>84.68586932673395</v>
      </c>
      <c r="G98" s="17">
        <f ca="1">IFERROR(IF(VALUE(RIGHT($B$82,2))&gt;$A98,0,AVERAGEIFS(Elec_On_Peak, 'Avoided AC'!$D:$D, $B98, 'Avoided AC'!$E:$E, "Shoulder") +
        INDEX(AEPS!$S$8:$S$37, MATCH($A98, 'General Inputs'!$F$3:$F$32, 0)) +
        OFFSET(DRIPE!$I$10, MATCH('Output (non-LI)'!$B98, DRIPE!$I$11:$I$30, 0), MATCH('Output (non-LI)'!$B$82, DRIPE!$J$10:$N$10, 0), 1, 1)),"Data Missing")</f>
        <v>72.554484632116768</v>
      </c>
      <c r="H98" s="17">
        <f ca="1">IFERROR(IF(VALUE(RIGHT($B$82,2))&gt;$A98,0,AVERAGEIFS(Elec_Off_Peak, 'Avoided AC'!$D:$D, $B98, 'Avoided AC'!$E:$E, "Shoulder") +
        INDEX(AEPS!$S$8:$S$37, MATCH($A98, 'General Inputs'!$F$3:$F$32, 0)) +
        OFFSET(DRIPE!$I$10, MATCH('Output (non-LI)'!$B98, DRIPE!$I$11:$I$30, 0), MATCH('Output (non-LI)'!$B$82, DRIPE!$J$10:$N$10, 0), 1, 1)),"Data Missing")</f>
        <v>56.405260734977276</v>
      </c>
      <c r="I98" s="17">
        <f ca="1">(IF(VALUE(RIGHT($B$82,2))&gt;$A98,0,INDEX('Generation Capacity'!$E$27:$K$48,MATCH($A98,'Generation Capacity'!$B$27:$B$48,FALSE),MATCH(EDC_NAME,'Generation Capacity'!$E$26:$K$26,FALSE))+
        OFFSET(DRIPE!$B$35,MATCH('Output (non-LI)'!$B98,DRIPE!$B$11:$B$30,0),MATCH('Output (non-LI)'!$B$82,DRIPE!$C$10:$G$10,0),1,1)))</f>
        <v>32.569398785214304</v>
      </c>
      <c r="J98" s="17">
        <f ca="1">(IF(VALUE(RIGHT($B$82,2))&gt;$A98,0,INDEX('Generation Capacity'!$E$27:$K$48,MATCH($A98,'Generation Capacity'!$B$27:$B$48,FALSE),MATCH(EDC_NAME,'Generation Capacity'!$E$26:$K$26,FALSE))+
        OFFSET(DRIPE!$I$35,MATCH('Output (non-LI)'!$B98,DRIPE!$B$11:$B$30,0),MATCH('Output (non-LI)'!$B$82,DRIPE!$C$10:$G$10,0),1,1)))</f>
        <v>32.569398785214304</v>
      </c>
      <c r="K98" s="17">
        <f ca="1">IFERROR(IF(VALUE(RIGHT($B$82,2))&gt;$A98,0,INDEX('T&amp;D Capacity'!$E$4:$K$23,MATCH($A98,'T&amp;D Capacity'!$B$4:$B$23,FALSE),MATCH(EDC_NAME,'T&amp;D Capacity'!$E$3:$K$3,FALSE))),0)</f>
        <v>11.291759550184038</v>
      </c>
      <c r="L98" s="17">
        <f ca="1">IFERROR(IF(VALUE(RIGHT($B$82,2))&gt;$A98,0,INDEX('T&amp;D Capacity'!$E$28:$K$47,MATCH($A98,'T&amp;D Capacity'!$B$28:$B$47,FALSE),MATCH(EDC_NAME,'T&amp;D Capacity'!$E$27:$K$27,FALSE))),0)</f>
        <v>11.291759550184038</v>
      </c>
      <c r="M98" s="17">
        <f ca="1">IFERROR(IF(VALUE(RIGHT($B$82,2))&gt;$A98,0,INDEX('T&amp;D Capacity'!$M$4:$S$23,MATCH($A98,'T&amp;D Capacity'!$B$4:$B$23,FALSE),MATCH(EDC_NAME,'T&amp;D Capacity'!$M$3:$S$3,FALSE))),0)</f>
        <v>73.280775959561936</v>
      </c>
      <c r="N98" s="17">
        <f ca="1">IFERROR(IF(VALUE(RIGHT($B$82,2))&gt;$A98,0,INDEX('T&amp;D Capacity'!$M$28:$S$47,MATCH($A98,'T&amp;D Capacity'!$B$28:$B$47,FALSE),MATCH(EDC_NAME,'T&amp;D Capacity'!$M$27:$S$27,FALSE))),0)</f>
        <v>10.626220188540552</v>
      </c>
      <c r="O98" s="18">
        <f>IFERROR(IF(VALUE(RIGHT($B$82,2))&gt;$A98,0,IFERROR(AVERAGEIF('NG Futures'!$E:$E,$B98,'NG Futures'!$I:$I),"Data Missing")),0)</f>
        <v>4.5604826844447048</v>
      </c>
      <c r="P98" s="324"/>
    </row>
    <row r="99" spans="1:16" s="50" customFormat="1" ht="15" customHeight="1" x14ac:dyDescent="0.2">
      <c r="A99" s="124">
        <f t="shared" ref="A99:B99" si="49">A98+1</f>
        <v>31</v>
      </c>
      <c r="B99" s="124">
        <f t="shared" si="49"/>
        <v>2040</v>
      </c>
      <c r="C99" s="122">
        <f ca="1">IFERROR(IF(VALUE(RIGHT($B$82,2))&gt;$A99,0,AVERAGEIFS(Elec_On_Peak, 'Avoided AC'!$D:$D, $B99, 'Avoided AC'!$E:$E, "Summer") +
        INDEX(AEPS!$S$8:$S$37, MATCH($A99, 'General Inputs'!$F$3:$F$32, 0)) +
        OFFSET(DRIPE!$I$10, MATCH('Output (non-LI)'!$B99, DRIPE!$I$11:$I$30, 0), MATCH('Output (non-LI)'!$B$82, DRIPE!$J$10:$N$10, 0), 1, 1)),"Data Missing")</f>
        <v>85.479707682739601</v>
      </c>
      <c r="D99" s="17">
        <f ca="1">IFERROR(IF(VALUE(RIGHT($B$82,2))&gt;$A99,0,AVERAGEIFS(Elec_Off_Peak, 'Avoided AC'!$D:$D, $B99, 'Avoided AC'!$E:$E, "Summer") +
        INDEX(AEPS!$S$8:$S$37, MATCH($A99, 'General Inputs'!$F$3:$F$32, 0)) +
        OFFSET(DRIPE!$I$10, MATCH('Output (non-LI)'!$B99, DRIPE!$I$11:$I$30, 0), MATCH('Output (non-LI)'!$B$82, DRIPE!$J$10:$N$10, 0), 1, 1)),"Data Missing")</f>
        <v>52.366886357321818</v>
      </c>
      <c r="E99" s="17">
        <f ca="1">IFERROR(IF(VALUE(RIGHT($B$82,2))&gt;$A99,0,AVERAGEIFS(Elec_On_Peak, 'Avoided AC'!$D:$D, $B99, 'Avoided AC'!$E:$E, "Winter") +
        INDEX(AEPS!$S$8:$S$37, MATCH($A99, 'General Inputs'!$F$3:$F$32, 0)) +
        OFFSET(DRIPE!$I$10, MATCH('Output (non-LI)'!$B99, DRIPE!$I$11:$I$30, 0), MATCH('Output (non-LI)'!$B$82, DRIPE!$J$10:$N$10, 0), 1, 1)),"Data Missing")</f>
        <v>104.0628250875676</v>
      </c>
      <c r="F99" s="17">
        <f ca="1">IFERROR(IF(VALUE(RIGHT($B$82,2))&gt;$A99,0,AVERAGEIFS(Elec_Off_Peak, 'Avoided AC'!$D:$D, $B99, 'Avoided AC'!$E:$E, "Winter") +
        INDEX(AEPS!$S$8:$S$37, MATCH($A99, 'General Inputs'!$F$3:$F$32, 0)) +
        OFFSET(DRIPE!$I$10, MATCH('Output (non-LI)'!$B99, DRIPE!$I$11:$I$30, 0), MATCH('Output (non-LI)'!$B$82, DRIPE!$J$10:$N$10, 0), 1, 1)),"Data Missing")</f>
        <v>85.280908790909052</v>
      </c>
      <c r="G99" s="17">
        <f ca="1">IFERROR(IF(VALUE(RIGHT($B$82,2))&gt;$A99,0,AVERAGEIFS(Elec_On_Peak, 'Avoided AC'!$D:$D, $B99, 'Avoided AC'!$E:$E, "Shoulder") +
        INDEX(AEPS!$S$8:$S$37, MATCH($A99, 'General Inputs'!$F$3:$F$32, 0)) +
        OFFSET(DRIPE!$I$10, MATCH('Output (non-LI)'!$B99, DRIPE!$I$11:$I$30, 0), MATCH('Output (non-LI)'!$B$82, DRIPE!$J$10:$N$10, 0), 1, 1)),"Data Missing")</f>
        <v>73.018103504248913</v>
      </c>
      <c r="H99" s="17">
        <f ca="1">IFERROR(IF(VALUE(RIGHT($B$82,2))&gt;$A99,0,AVERAGEIFS(Elec_Off_Peak, 'Avoided AC'!$D:$D, $B99, 'Avoided AC'!$E:$E, "Shoulder") +
        INDEX(AEPS!$S$8:$S$37, MATCH($A99, 'General Inputs'!$F$3:$F$32, 0)) +
        OFFSET(DRIPE!$I$10, MATCH('Output (non-LI)'!$B99, DRIPE!$I$11:$I$30, 0), MATCH('Output (non-LI)'!$B$82, DRIPE!$J$10:$N$10, 0), 1, 1)),"Data Missing")</f>
        <v>56.778908085368613</v>
      </c>
      <c r="I99" s="17">
        <f ca="1">(IF(VALUE(RIGHT($B$82,2))&gt;$A99,0,INDEX('Generation Capacity'!$E$27:$K$48,MATCH($A99,'Generation Capacity'!$B$27:$B$48,FALSE),MATCH(EDC_NAME,'Generation Capacity'!$E$26:$K$26,FALSE))+
        OFFSET(DRIPE!$B$35,MATCH('Output (non-LI)'!$B99,DRIPE!$B$11:$B$30,0),MATCH('Output (non-LI)'!$B$82,DRIPE!$C$10:$G$10,0),1,1)))</f>
        <v>33.244088006088298</v>
      </c>
      <c r="J99" s="17">
        <f ca="1">(IF(VALUE(RIGHT($B$82,2))&gt;$A99,0,INDEX('Generation Capacity'!$E$27:$K$48,MATCH($A99,'Generation Capacity'!$B$27:$B$48,FALSE),MATCH(EDC_NAME,'Generation Capacity'!$E$26:$K$26,FALSE))+
        OFFSET(DRIPE!$I$35,MATCH('Output (non-LI)'!$B99,DRIPE!$B$11:$B$30,0),MATCH('Output (non-LI)'!$B$82,DRIPE!$C$10:$G$10,0),1,1)))</f>
        <v>33.244088006088298</v>
      </c>
      <c r="K99" s="17">
        <f ca="1">IFERROR(IF(VALUE(RIGHT($B$82,2))&gt;$A99,0,INDEX('T&amp;D Capacity'!$E$4:$K$23,MATCH($A99,'T&amp;D Capacity'!$B$4:$B$23,FALSE),MATCH(EDC_NAME,'T&amp;D Capacity'!$E$3:$K$3,FALSE))),0)</f>
        <v>11.525673246394749</v>
      </c>
      <c r="L99" s="17">
        <f ca="1">IFERROR(IF(VALUE(RIGHT($B$82,2))&gt;$A99,0,INDEX('T&amp;D Capacity'!$E$28:$K$47,MATCH($A99,'T&amp;D Capacity'!$B$28:$B$47,FALSE),MATCH(EDC_NAME,'T&amp;D Capacity'!$E$27:$K$27,FALSE))),0)</f>
        <v>11.525673246394749</v>
      </c>
      <c r="M99" s="17">
        <f ca="1">IFERROR(IF(VALUE(RIGHT($B$82,2))&gt;$A99,0,INDEX('T&amp;D Capacity'!$M$4:$S$23,MATCH($A99,'T&amp;D Capacity'!$B$4:$B$23,FALSE),MATCH(EDC_NAME,'T&amp;D Capacity'!$M$3:$S$3,FALSE))),0)</f>
        <v>74.798819014739365</v>
      </c>
      <c r="N99" s="17">
        <f ca="1">IFERROR(IF(VALUE(RIGHT($B$82,2))&gt;$A99,0,INDEX('T&amp;D Capacity'!$M$28:$S$47,MATCH($A99,'T&amp;D Capacity'!$B$28:$B$47,FALSE),MATCH(EDC_NAME,'T&amp;D Capacity'!$M$27:$S$27,FALSE))),0)</f>
        <v>10.846346948236732</v>
      </c>
      <c r="O99" s="18">
        <f>IFERROR(IF(VALUE(RIGHT($B$82,2))&gt;$A99,0,IFERROR(AVERAGEIF('NG Futures'!$E:$E,$B99,'NG Futures'!$I:$I),"Data Missing")),0)</f>
        <v>4.5925300938202467</v>
      </c>
      <c r="P99" s="324"/>
    </row>
    <row r="100" spans="1:16" s="50" customFormat="1" ht="15" customHeight="1" x14ac:dyDescent="0.2">
      <c r="A100" s="124">
        <f t="shared" ref="A100:B100" si="50">A99+1</f>
        <v>32</v>
      </c>
      <c r="B100" s="124">
        <f t="shared" si="50"/>
        <v>2041</v>
      </c>
      <c r="C100" s="122">
        <f ca="1">IFERROR(IF(VALUE(RIGHT($B$82,2))&gt;$A100,0,AVERAGEIFS(Elec_On_Peak, 'Avoided AC'!$D:$D, $B100, 'Avoided AC'!$E:$E, "Summer") +
        INDEX(AEPS!$S$8:$S$37, MATCH($A100, 'General Inputs'!$F$3:$F$32, 0)) +
        OFFSET(DRIPE!$I$10, MATCH('Output (non-LI)'!$B100, DRIPE!$I$11:$I$30, 0), MATCH('Output (non-LI)'!$B$82, DRIPE!$J$10:$N$10, 0), 1, 1)),"Data Missing")</f>
        <v>86.797941778981851</v>
      </c>
      <c r="D100" s="17">
        <f ca="1">IFERROR(IF(VALUE(RIGHT($B$82,2))&gt;$A100,0,AVERAGEIFS(Elec_Off_Peak, 'Avoided AC'!$D:$D, $B100, 'Avoided AC'!$E:$E, "Summer") +
        INDEX(AEPS!$S$8:$S$37, MATCH($A100, 'General Inputs'!$F$3:$F$32, 0)) +
        OFFSET(DRIPE!$I$10, MATCH('Output (non-LI)'!$B100, DRIPE!$I$11:$I$30, 0), MATCH('Output (non-LI)'!$B$82, DRIPE!$J$10:$N$10, 0), 1, 1)),"Data Missing")</f>
        <v>53.330166606061503</v>
      </c>
      <c r="E100" s="17">
        <f ca="1">IFERROR(IF(VALUE(RIGHT($B$82,2))&gt;$A100,0,AVERAGEIFS(Elec_On_Peak, 'Avoided AC'!$D:$D, $B100, 'Avoided AC'!$E:$E, "Winter") +
        INDEX(AEPS!$S$8:$S$37, MATCH($A100, 'General Inputs'!$F$3:$F$32, 0)) +
        OFFSET(DRIPE!$I$10, MATCH('Output (non-LI)'!$B100, DRIPE!$I$11:$I$30, 0), MATCH('Output (non-LI)'!$B$82, DRIPE!$J$10:$N$10, 0), 1, 1)),"Data Missing")</f>
        <v>107.01509738211125</v>
      </c>
      <c r="F100" s="17">
        <f ca="1">IFERROR(IF(VALUE(RIGHT($B$82,2))&gt;$A100,0,AVERAGEIFS(Elec_Off_Peak, 'Avoided AC'!$D:$D, $B100, 'Avoided AC'!$E:$E, "Winter") +
        INDEX(AEPS!$S$8:$S$37, MATCH($A100, 'General Inputs'!$F$3:$F$32, 0)) +
        OFFSET(DRIPE!$I$10, MATCH('Output (non-LI)'!$B100, DRIPE!$I$11:$I$30, 0), MATCH('Output (non-LI)'!$B$82, DRIPE!$J$10:$N$10, 0), 1, 1)),"Data Missing")</f>
        <v>87.369497666511606</v>
      </c>
      <c r="G100" s="17">
        <f ca="1">IFERROR(IF(VALUE(RIGHT($B$82,2))&gt;$A100,0,AVERAGEIFS(Elec_On_Peak, 'Avoided AC'!$D:$D, $B100, 'Avoided AC'!$E:$E, "Shoulder") +
        INDEX(AEPS!$S$8:$S$37, MATCH($A100, 'General Inputs'!$F$3:$F$32, 0)) +
        OFFSET(DRIPE!$I$10, MATCH('Output (non-LI)'!$B100, DRIPE!$I$11:$I$30, 0), MATCH('Output (non-LI)'!$B$82, DRIPE!$J$10:$N$10, 0), 1, 1)),"Data Missing")</f>
        <v>74.509477314631226</v>
      </c>
      <c r="H100" s="17">
        <f ca="1">IFERROR(IF(VALUE(RIGHT($B$82,2))&gt;$A100,0,AVERAGEIFS(Elec_Off_Peak, 'Avoided AC'!$D:$D, $B100, 'Avoided AC'!$E:$E, "Shoulder") +
        INDEX(AEPS!$S$8:$S$37, MATCH($A100, 'General Inputs'!$F$3:$F$32, 0)) +
        OFFSET(DRIPE!$I$10, MATCH('Output (non-LI)'!$B100, DRIPE!$I$11:$I$30, 0), MATCH('Output (non-LI)'!$B$82, DRIPE!$J$10:$N$10, 0), 1, 1)),"Data Missing")</f>
        <v>57.861423988560503</v>
      </c>
      <c r="I100" s="17">
        <f ca="1">(IF(VALUE(RIGHT($B$82,2))&gt;$A100,0,INDEX('Generation Capacity'!$E$27:$K$48,MATCH($A100,'Generation Capacity'!$B$27:$B$48,FALSE),MATCH(EDC_NAME,'Generation Capacity'!$E$26:$K$26,FALSE))+
        OFFSET(DRIPE!$B$35,MATCH('Output (non-LI)'!$B100,DRIPE!$B$11:$B$30,0),MATCH('Output (non-LI)'!$B$82,DRIPE!$C$10:$G$10,0),1,1)))</f>
        <v>33.932753706778989</v>
      </c>
      <c r="J100" s="17">
        <f ca="1">(IF(VALUE(RIGHT($B$82,2))&gt;$A100,0,INDEX('Generation Capacity'!$E$27:$K$48,MATCH($A100,'Generation Capacity'!$B$27:$B$48,FALSE),MATCH(EDC_NAME,'Generation Capacity'!$E$26:$K$26,FALSE))+
        OFFSET(DRIPE!$I$35,MATCH('Output (non-LI)'!$B100,DRIPE!$B$11:$B$30,0),MATCH('Output (non-LI)'!$B$82,DRIPE!$C$10:$G$10,0),1,1)))</f>
        <v>33.932753706778989</v>
      </c>
      <c r="K100" s="17">
        <f ca="1">IFERROR(IF(VALUE(RIGHT($B$82,2))&gt;$A100,0,INDEX('T&amp;D Capacity'!$E$4:$K$23,MATCH($A100,'T&amp;D Capacity'!$B$4:$B$23,FALSE),MATCH(EDC_NAME,'T&amp;D Capacity'!$E$3:$K$3,FALSE))),0)</f>
        <v>11.76443256626861</v>
      </c>
      <c r="L100" s="17">
        <f ca="1">IFERROR(IF(VALUE(RIGHT($B$82,2))&gt;$A100,0,INDEX('T&amp;D Capacity'!$E$28:$K$47,MATCH($A100,'T&amp;D Capacity'!$B$28:$B$47,FALSE),MATCH(EDC_NAME,'T&amp;D Capacity'!$E$27:$K$27,FALSE))),0)</f>
        <v>11.76443256626861</v>
      </c>
      <c r="M100" s="17">
        <f ca="1">IFERROR(IF(VALUE(RIGHT($B$82,2))&gt;$A100,0,INDEX('T&amp;D Capacity'!$M$4:$S$23,MATCH($A100,'T&amp;D Capacity'!$B$4:$B$23,FALSE),MATCH(EDC_NAME,'T&amp;D Capacity'!$M$3:$S$3,FALSE))),0)</f>
        <v>76.34830899016562</v>
      </c>
      <c r="N100" s="17">
        <f ca="1">IFERROR(IF(VALUE(RIGHT($B$82,2))&gt;$A100,0,INDEX('T&amp;D Capacity'!$M$28:$S$47,MATCH($A100,'T&amp;D Capacity'!$B$28:$B$47,FALSE),MATCH(EDC_NAME,'T&amp;D Capacity'!$M$27:$S$27,FALSE))),0)</f>
        <v>11.071033729226899</v>
      </c>
      <c r="O100" s="18">
        <f>IFERROR(IF(VALUE(RIGHT($B$82,2))&gt;$A100,0,IFERROR(AVERAGEIF('NG Futures'!$E:$E,$B100,'NG Futures'!$I:$I),"Data Missing")),0)</f>
        <v>4.7381632505640319</v>
      </c>
      <c r="P100" s="324"/>
    </row>
    <row r="101" spans="1:16" s="50" customFormat="1" ht="15" customHeight="1" x14ac:dyDescent="0.2">
      <c r="A101" s="124">
        <f t="shared" ref="A101:B101" si="51">A100+1</f>
        <v>33</v>
      </c>
      <c r="B101" s="124">
        <f t="shared" si="51"/>
        <v>2042</v>
      </c>
      <c r="C101" s="122">
        <f ca="1">IFERROR(IF(VALUE(RIGHT($B$82,2))&gt;$A101,0,AVERAGEIFS(Elec_On_Peak, 'Avoided AC'!$D:$D, $B101, 'Avoided AC'!$E:$E, "Summer") +
        INDEX(AEPS!$S$8:$S$37, MATCH($A101, 'General Inputs'!$F$3:$F$32, 0)) +
        OFFSET(DRIPE!$I$10, MATCH('Output (non-LI)'!$B101, DRIPE!$I$11:$I$30, 0), MATCH('Output (non-LI)'!$B$82, DRIPE!$J$10:$N$10, 0), 1, 1)),"Data Missing")</f>
        <v>88.253494372988698</v>
      </c>
      <c r="D101" s="17">
        <f ca="1">IFERROR(IF(VALUE(RIGHT($B$82,2))&gt;$A101,0,AVERAGEIFS(Elec_Off_Peak, 'Avoided AC'!$D:$D, $B101, 'Avoided AC'!$E:$E, "Summer") +
        INDEX(AEPS!$S$8:$S$37, MATCH($A101, 'General Inputs'!$F$3:$F$32, 0)) +
        OFFSET(DRIPE!$I$10, MATCH('Output (non-LI)'!$B101, DRIPE!$I$11:$I$30, 0), MATCH('Output (non-LI)'!$B$82, DRIPE!$J$10:$N$10, 0), 1, 1)),"Data Missing")</f>
        <v>54.389122721346112</v>
      </c>
      <c r="E101" s="17">
        <f ca="1">IFERROR(IF(VALUE(RIGHT($B$82,2))&gt;$A101,0,AVERAGEIFS(Elec_On_Peak, 'Avoided AC'!$D:$D, $B101, 'Avoided AC'!$E:$E, "Winter") +
        INDEX(AEPS!$S$8:$S$37, MATCH($A101, 'General Inputs'!$F$3:$F$32, 0)) +
        OFFSET(DRIPE!$I$10, MATCH('Output (non-LI)'!$B101, DRIPE!$I$11:$I$30, 0), MATCH('Output (non-LI)'!$B$82, DRIPE!$J$10:$N$10, 0), 1, 1)),"Data Missing")</f>
        <v>110.29639098471289</v>
      </c>
      <c r="F101" s="17">
        <f ca="1">IFERROR(IF(VALUE(RIGHT($B$82,2))&gt;$A101,0,AVERAGEIFS(Elec_Off_Peak, 'Avoided AC'!$D:$D, $B101, 'Avoided AC'!$E:$E, "Winter") +
        INDEX(AEPS!$S$8:$S$37, MATCH($A101, 'General Inputs'!$F$3:$F$32, 0)) +
        OFFSET(DRIPE!$I$10, MATCH('Output (non-LI)'!$B101, DRIPE!$I$11:$I$30, 0), MATCH('Output (non-LI)'!$B$82, DRIPE!$J$10:$N$10, 0), 1, 1)),"Data Missing")</f>
        <v>89.685781859881985</v>
      </c>
      <c r="G101" s="17">
        <f ca="1">IFERROR(IF(VALUE(RIGHT($B$82,2))&gt;$A101,0,AVERAGEIFS(Elec_On_Peak, 'Avoided AC'!$D:$D, $B101, 'Avoided AC'!$E:$E, "Shoulder") +
        INDEX(AEPS!$S$8:$S$37, MATCH($A101, 'General Inputs'!$F$3:$F$32, 0)) +
        OFFSET(DRIPE!$I$10, MATCH('Output (non-LI)'!$B101, DRIPE!$I$11:$I$30, 0), MATCH('Output (non-LI)'!$B$82, DRIPE!$J$10:$N$10, 0), 1, 1)),"Data Missing")</f>
        <v>76.158482103727863</v>
      </c>
      <c r="H101" s="17">
        <f ca="1">IFERROR(IF(VALUE(RIGHT($B$82,2))&gt;$A101,0,AVERAGEIFS(Elec_Off_Peak, 'Avoided AC'!$D:$D, $B101, 'Avoided AC'!$E:$E, "Shoulder") +
        INDEX(AEPS!$S$8:$S$37, MATCH($A101, 'General Inputs'!$F$3:$F$32, 0)) +
        OFFSET(DRIPE!$I$10, MATCH('Output (non-LI)'!$B101, DRIPE!$I$11:$I$30, 0), MATCH('Output (non-LI)'!$B$82, DRIPE!$J$10:$N$10, 0), 1, 1)),"Data Missing")</f>
        <v>59.053604299121794</v>
      </c>
      <c r="I101" s="17">
        <f ca="1">(IF(VALUE(RIGHT($B$82,2))&gt;$A101,0,INDEX('Generation Capacity'!$E$27:$K$48,MATCH($A101,'Generation Capacity'!$B$27:$B$48,FALSE),MATCH(EDC_NAME,'Generation Capacity'!$E$26:$K$26,FALSE))+
        OFFSET(DRIPE!$B$35,MATCH('Output (non-LI)'!$B101,DRIPE!$B$11:$B$30,0),MATCH('Output (non-LI)'!$B$82,DRIPE!$C$10:$G$10,0),1,1)))</f>
        <v>34.635685416127252</v>
      </c>
      <c r="J101" s="17">
        <f ca="1">(IF(VALUE(RIGHT($B$82,2))&gt;$A101,0,INDEX('Generation Capacity'!$E$27:$K$48,MATCH($A101,'Generation Capacity'!$B$27:$B$48,FALSE),MATCH(EDC_NAME,'Generation Capacity'!$E$26:$K$26,FALSE))+
        OFFSET(DRIPE!$I$35,MATCH('Output (non-LI)'!$B101,DRIPE!$B$11:$B$30,0),MATCH('Output (non-LI)'!$B$82,DRIPE!$C$10:$G$10,0),1,1)))</f>
        <v>34.635685416127252</v>
      </c>
      <c r="K101" s="17">
        <f ca="1">IFERROR(IF(VALUE(RIGHT($B$82,2))&gt;$A101,0,INDEX('T&amp;D Capacity'!$E$4:$K$23,MATCH($A101,'T&amp;D Capacity'!$B$4:$B$23,FALSE),MATCH(EDC_NAME,'T&amp;D Capacity'!$E$3:$K$3,FALSE))),0)</f>
        <v>12.008137889001302</v>
      </c>
      <c r="L101" s="17">
        <f ca="1">IFERROR(IF(VALUE(RIGHT($B$82,2))&gt;$A101,0,INDEX('T&amp;D Capacity'!$E$28:$K$47,MATCH($A101,'T&amp;D Capacity'!$B$28:$B$47,FALSE),MATCH(EDC_NAME,'T&amp;D Capacity'!$E$27:$K$27,FALSE))),0)</f>
        <v>12.008137889001302</v>
      </c>
      <c r="M101" s="17">
        <f ca="1">IFERROR(IF(VALUE(RIGHT($B$82,2))&gt;$A101,0,INDEX('T&amp;D Capacity'!$M$4:$S$23,MATCH($A101,'T&amp;D Capacity'!$B$4:$B$23,FALSE),MATCH(EDC_NAME,'T&amp;D Capacity'!$M$3:$S$3,FALSE))),0)</f>
        <v>77.929897322431884</v>
      </c>
      <c r="N101" s="17">
        <f ca="1">IFERROR(IF(VALUE(RIGHT($B$82,2))&gt;$A101,0,INDEX('T&amp;D Capacity'!$M$28:$S$47,MATCH($A101,'T&amp;D Capacity'!$B$28:$B$47,FALSE),MATCH(EDC_NAME,'T&amp;D Capacity'!$M$27:$S$27,FALSE))),0)</f>
        <v>11.300374994329797</v>
      </c>
      <c r="O101" s="18">
        <f>IFERROR(IF(VALUE(RIGHT($B$82,2))&gt;$A101,0,IFERROR(AVERAGEIF('NG Futures'!$E:$E,$B101,'NG Futures'!$I:$I),"Data Missing")),0)</f>
        <v>4.9008818618881964</v>
      </c>
      <c r="P101" s="324"/>
    </row>
    <row r="102" spans="1:16" s="50" customFormat="1" ht="15" customHeight="1" x14ac:dyDescent="0.2">
      <c r="A102" s="124">
        <f t="shared" ref="A102:B102" si="52">A101+1</f>
        <v>34</v>
      </c>
      <c r="B102" s="124">
        <f t="shared" si="52"/>
        <v>2043</v>
      </c>
      <c r="C102" s="122">
        <f ca="1">IFERROR(IF(VALUE(RIGHT($B$82,2))&gt;$A102,0,AVERAGEIFS(Elec_On_Peak, 'Avoided AC'!$D:$D, $B102, 'Avoided AC'!$E:$E, "Summer") +
        INDEX(AEPS!$S$8:$S$37, MATCH($A102, 'General Inputs'!$F$3:$F$32, 0)) +
        OFFSET(DRIPE!$I$10, MATCH('Output (non-LI)'!$B102, DRIPE!$I$11:$I$30, 0), MATCH('Output (non-LI)'!$B$82, DRIPE!$J$10:$N$10, 0), 1, 1)),"Data Missing")</f>
        <v>89.750447311801722</v>
      </c>
      <c r="D102" s="17">
        <f ca="1">IFERROR(IF(VALUE(RIGHT($B$82,2))&gt;$A102,0,AVERAGEIFS(Elec_Off_Peak, 'Avoided AC'!$D:$D, $B102, 'Avoided AC'!$E:$E, "Summer") +
        INDEX(AEPS!$S$8:$S$37, MATCH($A102, 'General Inputs'!$F$3:$F$32, 0)) +
        OFFSET(DRIPE!$I$10, MATCH('Output (non-LI)'!$B102, DRIPE!$I$11:$I$30, 0), MATCH('Output (non-LI)'!$B$82, DRIPE!$J$10:$N$10, 0), 1, 1)),"Data Missing")</f>
        <v>55.47772119275929</v>
      </c>
      <c r="E102" s="17">
        <f ca="1">IFERROR(IF(VALUE(RIGHT($B$82,2))&gt;$A102,0,AVERAGEIFS(Elec_On_Peak, 'Avoided AC'!$D:$D, $B102, 'Avoided AC'!$E:$E, "Winter") +
        INDEX(AEPS!$S$8:$S$37, MATCH($A102, 'General Inputs'!$F$3:$F$32, 0)) +
        OFFSET(DRIPE!$I$10, MATCH('Output (non-LI)'!$B102, DRIPE!$I$11:$I$30, 0), MATCH('Output (non-LI)'!$B$82, DRIPE!$J$10:$N$10, 0), 1, 1)),"Data Missing")</f>
        <v>113.6732131033452</v>
      </c>
      <c r="F102" s="17">
        <f ca="1">IFERROR(IF(VALUE(RIGHT($B$82,2))&gt;$A102,0,AVERAGEIFS(Elec_Off_Peak, 'Avoided AC'!$D:$D, $B102, 'Avoided AC'!$E:$E, "Winter") +
        INDEX(AEPS!$S$8:$S$37, MATCH($A102, 'General Inputs'!$F$3:$F$32, 0)) +
        OFFSET(DRIPE!$I$10, MATCH('Output (non-LI)'!$B102, DRIPE!$I$11:$I$30, 0), MATCH('Output (non-LI)'!$B$82, DRIPE!$J$10:$N$10, 0), 1, 1)),"Data Missing")</f>
        <v>92.068984709346594</v>
      </c>
      <c r="G102" s="17">
        <f ca="1">IFERROR(IF(VALUE(RIGHT($B$82,2))&gt;$A102,0,AVERAGEIFS(Elec_On_Peak, 'Avoided AC'!$D:$D, $B102, 'Avoided AC'!$E:$E, "Shoulder") +
        INDEX(AEPS!$S$8:$S$37, MATCH($A102, 'General Inputs'!$F$3:$F$32, 0)) +
        OFFSET(DRIPE!$I$10, MATCH('Output (non-LI)'!$B102, DRIPE!$I$11:$I$30, 0), MATCH('Output (non-LI)'!$B$82, DRIPE!$J$10:$N$10, 0), 1, 1)),"Data Missing")</f>
        <v>77.854622560160081</v>
      </c>
      <c r="H102" s="17">
        <f ca="1">IFERROR(IF(VALUE(RIGHT($B$82,2))&gt;$A102,0,AVERAGEIFS(Elec_Off_Peak, 'Avoided AC'!$D:$D, $B102, 'Avoided AC'!$E:$E, "Shoulder") +
        INDEX(AEPS!$S$8:$S$37, MATCH($A102, 'General Inputs'!$F$3:$F$32, 0)) +
        OFFSET(DRIPE!$I$10, MATCH('Output (non-LI)'!$B102, DRIPE!$I$11:$I$30, 0), MATCH('Output (non-LI)'!$B$82, DRIPE!$J$10:$N$10, 0), 1, 1)),"Data Missing")</f>
        <v>60.279376694726778</v>
      </c>
      <c r="I102" s="17">
        <f ca="1">(IF(VALUE(RIGHT($B$82,2))&gt;$A102,0,INDEX('Generation Capacity'!$E$27:$K$48,MATCH($A102,'Generation Capacity'!$B$27:$B$48,FALSE),MATCH(EDC_NAME,'Generation Capacity'!$E$26:$K$26,FALSE))+
        OFFSET(DRIPE!$B$35,MATCH('Output (non-LI)'!$B102,DRIPE!$B$11:$B$30,0),MATCH('Output (non-LI)'!$B$82,DRIPE!$C$10:$G$10,0),1,1)))</f>
        <v>35.353178660689451</v>
      </c>
      <c r="J102" s="17">
        <f ca="1">(IF(VALUE(RIGHT($B$82,2))&gt;$A102,0,INDEX('Generation Capacity'!$E$27:$K$48,MATCH($A102,'Generation Capacity'!$B$27:$B$48,FALSE),MATCH(EDC_NAME,'Generation Capacity'!$E$26:$K$26,FALSE))+
        OFFSET(DRIPE!$I$35,MATCH('Output (non-LI)'!$B102,DRIPE!$B$11:$B$30,0),MATCH('Output (non-LI)'!$B$82,DRIPE!$C$10:$G$10,0),1,1)))</f>
        <v>35.353178660689451</v>
      </c>
      <c r="K102" s="17">
        <f ca="1">IFERROR(IF(VALUE(RIGHT($B$82,2))&gt;$A102,0,INDEX('T&amp;D Capacity'!$E$4:$K$23,MATCH($A102,'T&amp;D Capacity'!$B$4:$B$23,FALSE),MATCH(EDC_NAME,'T&amp;D Capacity'!$E$3:$K$3,FALSE))),0)</f>
        <v>12.256891673187081</v>
      </c>
      <c r="L102" s="17">
        <f ca="1">IFERROR(IF(VALUE(RIGHT($B$82,2))&gt;$A102,0,INDEX('T&amp;D Capacity'!$E$28:$K$47,MATCH($A102,'T&amp;D Capacity'!$B$28:$B$47,FALSE),MATCH(EDC_NAME,'T&amp;D Capacity'!$E$27:$K$27,FALSE))),0)</f>
        <v>12.256891673187081</v>
      </c>
      <c r="M102" s="17">
        <f ca="1">IFERROR(IF(VALUE(RIGHT($B$82,2))&gt;$A102,0,INDEX('T&amp;D Capacity'!$M$4:$S$23,MATCH($A102,'T&amp;D Capacity'!$B$4:$B$23,FALSE),MATCH(EDC_NAME,'T&amp;D Capacity'!$M$3:$S$3,FALSE))),0)</f>
        <v>79.544248942920845</v>
      </c>
      <c r="N102" s="17">
        <f ca="1">IFERROR(IF(VALUE(RIGHT($B$82,2))&gt;$A102,0,INDEX('T&amp;D Capacity'!$M$28:$S$47,MATCH($A102,'T&amp;D Capacity'!$B$28:$B$47,FALSE),MATCH(EDC_NAME,'T&amp;D Capacity'!$M$27:$S$27,FALSE))),0)</f>
        <v>11.534467163202425</v>
      </c>
      <c r="O102" s="18">
        <f>IFERROR(IF(VALUE(RIGHT($B$82,2))&gt;$A102,0,IFERROR(AVERAGEIF('NG Futures'!$E:$E,$B102,'NG Futures'!$I:$I),"Data Missing")),0)</f>
        <v>5.0684246299869011</v>
      </c>
      <c r="P102" s="324"/>
    </row>
    <row r="103" spans="1:16" s="50" customFormat="1" ht="15" customHeight="1" x14ac:dyDescent="0.2">
      <c r="A103" s="124">
        <f t="shared" ref="A103:B103" si="53">A102+1</f>
        <v>35</v>
      </c>
      <c r="B103" s="124">
        <f t="shared" si="53"/>
        <v>2044</v>
      </c>
      <c r="C103" s="122">
        <f ca="1">IFERROR(IF(VALUE(RIGHT($B$82,2))&gt;$A103,0,AVERAGEIFS(Elec_On_Peak, 'Avoided AC'!$D:$D, $B103, 'Avoided AC'!$E:$E, "Summer") +
        INDEX(AEPS!$S$8:$S$37, MATCH($A103, 'General Inputs'!$F$3:$F$32, 0)) +
        OFFSET(DRIPE!$I$10, MATCH('Output (non-LI)'!$B103, DRIPE!$I$11:$I$30, 0), MATCH('Output (non-LI)'!$B$82, DRIPE!$J$10:$N$10, 0), 1, 1)),"Data Missing")</f>
        <v>90.771671891321404</v>
      </c>
      <c r="D103" s="17">
        <f ca="1">IFERROR(IF(VALUE(RIGHT($B$82,2))&gt;$A103,0,AVERAGEIFS(Elec_Off_Peak, 'Avoided AC'!$D:$D, $B103, 'Avoided AC'!$E:$E, "Summer") +
        INDEX(AEPS!$S$8:$S$37, MATCH($A103, 'General Inputs'!$F$3:$F$32, 0)) +
        OFFSET(DRIPE!$I$10, MATCH('Output (non-LI)'!$B103, DRIPE!$I$11:$I$30, 0), MATCH('Output (non-LI)'!$B$82, DRIPE!$J$10:$N$10, 0), 1, 1)),"Data Missing")</f>
        <v>56.239855032725217</v>
      </c>
      <c r="E103" s="17">
        <f ca="1">IFERROR(IF(VALUE(RIGHT($B$82,2))&gt;$A103,0,AVERAGEIFS(Elec_On_Peak, 'Avoided AC'!$D:$D, $B103, 'Avoided AC'!$E:$E, "Winter") +
        INDEX(AEPS!$S$8:$S$37, MATCH($A103, 'General Inputs'!$F$3:$F$32, 0)) +
        OFFSET(DRIPE!$I$10, MATCH('Output (non-LI)'!$B103, DRIPE!$I$11:$I$30, 0), MATCH('Output (non-LI)'!$B$82, DRIPE!$J$10:$N$10, 0), 1, 1)),"Data Missing")</f>
        <v>115.88716785957854</v>
      </c>
      <c r="F103" s="17">
        <f ca="1">IFERROR(IF(VALUE(RIGHT($B$82,2))&gt;$A103,0,AVERAGEIFS(Elec_Off_Peak, 'Avoided AC'!$D:$D, $B103, 'Avoided AC'!$E:$E, "Winter") +
        INDEX(AEPS!$S$8:$S$37, MATCH($A103, 'General Inputs'!$F$3:$F$32, 0)) +
        OFFSET(DRIPE!$I$10, MATCH('Output (non-LI)'!$B103, DRIPE!$I$11:$I$30, 0), MATCH('Output (non-LI)'!$B$82, DRIPE!$J$10:$N$10, 0), 1, 1)),"Data Missing")</f>
        <v>93.65251278524336</v>
      </c>
      <c r="G103" s="17">
        <f ca="1">IFERROR(IF(VALUE(RIGHT($B$82,2))&gt;$A103,0,AVERAGEIFS(Elec_On_Peak, 'Avoided AC'!$D:$D, $B103, 'Avoided AC'!$E:$E, "Shoulder") +
        INDEX(AEPS!$S$8:$S$37, MATCH($A103, 'General Inputs'!$F$3:$F$32, 0)) +
        OFFSET(DRIPE!$I$10, MATCH('Output (non-LI)'!$B103, DRIPE!$I$11:$I$30, 0), MATCH('Output (non-LI)'!$B$82, DRIPE!$J$10:$N$10, 0), 1, 1)),"Data Missing")</f>
        <v>79.002226658871592</v>
      </c>
      <c r="H103" s="17">
        <f ca="1">IFERROR(IF(VALUE(RIGHT($B$82,2))&gt;$A103,0,AVERAGEIFS(Elec_Off_Peak, 'Avoided AC'!$D:$D, $B103, 'Avoided AC'!$E:$E, "Shoulder") +
        INDEX(AEPS!$S$8:$S$37, MATCH($A103, 'General Inputs'!$F$3:$F$32, 0)) +
        OFFSET(DRIPE!$I$10, MATCH('Output (non-LI)'!$B103, DRIPE!$I$11:$I$30, 0), MATCH('Output (non-LI)'!$B$82, DRIPE!$J$10:$N$10, 0), 1, 1)),"Data Missing")</f>
        <v>61.128543973294818</v>
      </c>
      <c r="I103" s="17">
        <f ca="1">(IF(VALUE(RIGHT($B$82,2))&gt;$A103,0,INDEX('Generation Capacity'!$E$27:$K$48,MATCH($A103,'Generation Capacity'!$B$27:$B$48,FALSE),MATCH(EDC_NAME,'Generation Capacity'!$E$26:$K$26,FALSE))+
        OFFSET(DRIPE!$B$35,MATCH('Output (non-LI)'!$B103,DRIPE!$B$11:$B$30,0),MATCH('Output (non-LI)'!$B$82,DRIPE!$C$10:$G$10,0),1,1)))</f>
        <v>36.085535088982752</v>
      </c>
      <c r="J103" s="17">
        <f ca="1">(IF(VALUE(RIGHT($B$82,2))&gt;$A103,0,INDEX('Generation Capacity'!$E$27:$K$48,MATCH($A103,'Generation Capacity'!$B$27:$B$48,FALSE),MATCH(EDC_NAME,'Generation Capacity'!$E$26:$K$26,FALSE))+
        OFFSET(DRIPE!$I$35,MATCH('Output (non-LI)'!$B103,DRIPE!$B$11:$B$30,0),MATCH('Output (non-LI)'!$B$82,DRIPE!$C$10:$G$10,0),1,1)))</f>
        <v>36.085535088982752</v>
      </c>
      <c r="K103" s="17">
        <f ca="1">IFERROR(IF(VALUE(RIGHT($B$82,2))&gt;$A103,0,INDEX('T&amp;D Capacity'!$E$4:$K$23,MATCH($A103,'T&amp;D Capacity'!$B$4:$B$23,FALSE),MATCH(EDC_NAME,'T&amp;D Capacity'!$E$3:$K$3,FALSE))),0)</f>
        <v>12.510798499894417</v>
      </c>
      <c r="L103" s="17">
        <f ca="1">IFERROR(IF(VALUE(RIGHT($B$82,2))&gt;$A103,0,INDEX('T&amp;D Capacity'!$E$28:$K$47,MATCH($A103,'T&amp;D Capacity'!$B$28:$B$47,FALSE),MATCH(EDC_NAME,'T&amp;D Capacity'!$E$27:$K$27,FALSE))),0)</f>
        <v>12.510798499894417</v>
      </c>
      <c r="M103" s="17">
        <f ca="1">IFERROR(IF(VALUE(RIGHT($B$82,2))&gt;$A103,0,INDEX('T&amp;D Capacity'!$M$4:$S$23,MATCH($A103,'T&amp;D Capacity'!$B$4:$B$23,FALSE),MATCH(EDC_NAME,'T&amp;D Capacity'!$M$3:$S$3,FALSE))),0)</f>
        <v>81.192042557357169</v>
      </c>
      <c r="N103" s="17">
        <f ca="1">IFERROR(IF(VALUE(RIGHT($B$82,2))&gt;$A103,0,INDEX('T&amp;D Capacity'!$M$28:$S$47,MATCH($A103,'T&amp;D Capacity'!$B$28:$B$47,FALSE),MATCH(EDC_NAME,'T&amp;D Capacity'!$M$27:$S$27,FALSE))),0)</f>
        <v>11.773408652876794</v>
      </c>
      <c r="O103" s="18">
        <f>IFERROR(IF(VALUE(RIGHT($B$82,2))&gt;$A103,0,IFERROR(AVERAGEIF('NG Futures'!$E:$E,$B103,'NG Futures'!$I:$I),"Data Missing")),0)</f>
        <v>5.1747263437160846</v>
      </c>
      <c r="P103" s="324"/>
    </row>
    <row r="104" spans="1:16" s="50" customFormat="1" ht="15" customHeight="1" x14ac:dyDescent="0.2">
      <c r="A104" s="124">
        <f t="shared" ref="A104:B104" si="54">A103+1</f>
        <v>36</v>
      </c>
      <c r="B104" s="124">
        <f t="shared" si="54"/>
        <v>2045</v>
      </c>
      <c r="C104" s="122">
        <f ca="1">IFERROR(IF(VALUE(RIGHT($B$82,2))&gt;$A104,0,AVERAGEIFS(Elec_On_Peak, 'Avoided AC'!$D:$D, $B104, 'Avoided AC'!$E:$E, "Summer") +
        INDEX(AEPS!$S$8:$S$37, MATCH($A104, 'General Inputs'!$F$3:$F$32, 0)) +
        OFFSET(DRIPE!$I$10, MATCH('Output (non-LI)'!$B104, DRIPE!$I$11:$I$30, 0), MATCH('Output (non-LI)'!$B$82, DRIPE!$J$10:$N$10, 0), 1, 1)),"Data Missing")</f>
        <v>91.55629291318408</v>
      </c>
      <c r="D104" s="17">
        <f ca="1">IFERROR(IF(VALUE(RIGHT($B$82,2))&gt;$A104,0,AVERAGEIFS(Elec_Off_Peak, 'Avoided AC'!$D:$D, $B104, 'Avoided AC'!$E:$E, "Summer") +
        INDEX(AEPS!$S$8:$S$37, MATCH($A104, 'General Inputs'!$F$3:$F$32, 0)) +
        OFFSET(DRIPE!$I$10, MATCH('Output (non-LI)'!$B104, DRIPE!$I$11:$I$30, 0), MATCH('Output (non-LI)'!$B$82, DRIPE!$J$10:$N$10, 0), 1, 1)),"Data Missing")</f>
        <v>56.840224744224557</v>
      </c>
      <c r="E104" s="17">
        <f ca="1">IFERROR(IF(VALUE(RIGHT($B$82,2))&gt;$A104,0,AVERAGEIFS(Elec_On_Peak, 'Avoided AC'!$D:$D, $B104, 'Avoided AC'!$E:$E, "Winter") +
        INDEX(AEPS!$S$8:$S$37, MATCH($A104, 'General Inputs'!$F$3:$F$32, 0)) +
        OFFSET(DRIPE!$I$10, MATCH('Output (non-LI)'!$B104, DRIPE!$I$11:$I$30, 0), MATCH('Output (non-LI)'!$B$82, DRIPE!$J$10:$N$10, 0), 1, 1)),"Data Missing")</f>
        <v>117.51999402512153</v>
      </c>
      <c r="F104" s="17">
        <f ca="1">IFERROR(IF(VALUE(RIGHT($B$82,2))&gt;$A104,0,AVERAGEIFS(Elec_Off_Peak, 'Avoided AC'!$D:$D, $B104, 'Avoided AC'!$E:$E, "Winter") +
        INDEX(AEPS!$S$8:$S$37, MATCH($A104, 'General Inputs'!$F$3:$F$32, 0)) +
        OFFSET(DRIPE!$I$10, MATCH('Output (non-LI)'!$B104, DRIPE!$I$11:$I$30, 0), MATCH('Output (non-LI)'!$B$82, DRIPE!$J$10:$N$10, 0), 1, 1)),"Data Missing")</f>
        <v>94.837013618356096</v>
      </c>
      <c r="G104" s="17">
        <f ca="1">IFERROR(IF(VALUE(RIGHT($B$82,2))&gt;$A104,0,AVERAGEIFS(Elec_On_Peak, 'Avoided AC'!$D:$D, $B104, 'Avoided AC'!$E:$E, "Shoulder") +
        INDEX(AEPS!$S$8:$S$37, MATCH($A104, 'General Inputs'!$F$3:$F$32, 0)) +
        OFFSET(DRIPE!$I$10, MATCH('Output (non-LI)'!$B104, DRIPE!$I$11:$I$30, 0), MATCH('Output (non-LI)'!$B$82, DRIPE!$J$10:$N$10, 0), 1, 1)),"Data Missing")</f>
        <v>79.87672195433548</v>
      </c>
      <c r="H104" s="17">
        <f ca="1">IFERROR(IF(VALUE(RIGHT($B$82,2))&gt;$A104,0,AVERAGEIFS(Elec_Off_Peak, 'Avoided AC'!$D:$D, $B104, 'Avoided AC'!$E:$E, "Shoulder") +
        INDEX(AEPS!$S$8:$S$37, MATCH($A104, 'General Inputs'!$F$3:$F$32, 0)) +
        OFFSET(DRIPE!$I$10, MATCH('Output (non-LI)'!$B104, DRIPE!$I$11:$I$30, 0), MATCH('Output (non-LI)'!$B$82, DRIPE!$J$10:$N$10, 0), 1, 1)),"Data Missing")</f>
        <v>61.79080715553529</v>
      </c>
      <c r="I104" s="17">
        <f ca="1">(IF(VALUE(RIGHT($B$82,2))&gt;$A104,0,INDEX('Generation Capacity'!$E$27:$K$48,MATCH($A104,'Generation Capacity'!$B$27:$B$48,FALSE),MATCH(EDC_NAME,'Generation Capacity'!$E$26:$K$26,FALSE))+
        OFFSET(DRIPE!$B$35,MATCH('Output (non-LI)'!$B104,DRIPE!$B$11:$B$30,0),MATCH('Output (non-LI)'!$B$82,DRIPE!$C$10:$G$10,0),1,1)))</f>
        <v>36.83306259830416</v>
      </c>
      <c r="J104" s="17">
        <f ca="1">(IF(VALUE(RIGHT($B$82,2))&gt;$A104,0,INDEX('Generation Capacity'!$E$27:$K$48,MATCH($A104,'Generation Capacity'!$B$27:$B$48,FALSE),MATCH(EDC_NAME,'Generation Capacity'!$E$26:$K$26,FALSE))+
        OFFSET(DRIPE!$I$35,MATCH('Output (non-LI)'!$B104,DRIPE!$B$11:$B$30,0),MATCH('Output (non-LI)'!$B$82,DRIPE!$C$10:$G$10,0),1,1)))</f>
        <v>36.83306259830416</v>
      </c>
      <c r="K104" s="17">
        <f ca="1">IFERROR(IF(VALUE(RIGHT($B$82,2))&gt;$A104,0,INDEX('T&amp;D Capacity'!$E$4:$K$23,MATCH($A104,'T&amp;D Capacity'!$B$4:$B$23,FALSE),MATCH(EDC_NAME,'T&amp;D Capacity'!$E$3:$K$3,FALSE))),0)</f>
        <v>12.769965116633969</v>
      </c>
      <c r="L104" s="17">
        <f ca="1">IFERROR(IF(VALUE(RIGHT($B$82,2))&gt;$A104,0,INDEX('T&amp;D Capacity'!$E$28:$K$47,MATCH($A104,'T&amp;D Capacity'!$B$28:$B$47,FALSE),MATCH(EDC_NAME,'T&amp;D Capacity'!$E$27:$K$27,FALSE))),0)</f>
        <v>12.769965116633969</v>
      </c>
      <c r="M104" s="17">
        <f ca="1">IFERROR(IF(VALUE(RIGHT($B$82,2))&gt;$A104,0,INDEX('T&amp;D Capacity'!$M$4:$S$23,MATCH($A104,'T&amp;D Capacity'!$B$4:$B$23,FALSE),MATCH(EDC_NAME,'T&amp;D Capacity'!$M$3:$S$3,FALSE))),0)</f>
        <v>82.873970931148946</v>
      </c>
      <c r="N104" s="17">
        <f ca="1">IFERROR(IF(VALUE(RIGHT($B$82,2))&gt;$A104,0,INDEX('T&amp;D Capacity'!$M$28:$S$47,MATCH($A104,'T&amp;D Capacity'!$B$28:$B$47,FALSE),MATCH(EDC_NAME,'T&amp;D Capacity'!$M$27:$S$27,FALSE))),0)</f>
        <v>12.017299919136418</v>
      </c>
      <c r="O104" s="18">
        <f>IFERROR(IF(VALUE(RIGHT($B$82,2))&gt;$A104,0,IFERROR(AVERAGEIF('NG Futures'!$E:$E,$B104,'NG Futures'!$I:$I),"Data Missing")),0)</f>
        <v>5.2503223688083311</v>
      </c>
      <c r="P104" s="324"/>
    </row>
    <row r="105" spans="1:16" s="50" customFormat="1" ht="15" customHeight="1" x14ac:dyDescent="0.2">
      <c r="A105" s="124">
        <f t="shared" ref="A105:B105" si="55">A104+1</f>
        <v>37</v>
      </c>
      <c r="B105" s="124">
        <f t="shared" si="55"/>
        <v>2046</v>
      </c>
      <c r="C105" s="122">
        <f ca="1">IFERROR(IF(VALUE(RIGHT($B$82,2))&gt;$A105,0,AVERAGEIFS(Elec_On_Peak, 'Avoided AC'!$D:$D, $B105, 'Avoided AC'!$E:$E, "Summer") +
        INDEX(AEPS!$S$8:$S$37, MATCH($A105, 'General Inputs'!$F$3:$F$32, 0)) +
        OFFSET(DRIPE!$I$10, MATCH('Output (non-LI)'!$B105, DRIPE!$I$11:$I$30, 0), MATCH('Output (non-LI)'!$B$82, DRIPE!$J$10:$N$10, 0), 1, 1)),"Data Missing")</f>
        <v>93.381310526331177</v>
      </c>
      <c r="D105" s="17">
        <f ca="1">IFERROR(IF(VALUE(RIGHT($B$82,2))&gt;$A105,0,AVERAGEIFS(Elec_Off_Peak, 'Avoided AC'!$D:$D, $B105, 'Avoided AC'!$E:$E, "Summer") +
        INDEX(AEPS!$S$8:$S$37, MATCH($A105, 'General Inputs'!$F$3:$F$32, 0)) +
        OFFSET(DRIPE!$I$10, MATCH('Output (non-LI)'!$B105, DRIPE!$I$11:$I$30, 0), MATCH('Output (non-LI)'!$B$82, DRIPE!$J$10:$N$10, 0), 1, 1)),"Data Missing")</f>
        <v>58.158282074954336</v>
      </c>
      <c r="E105" s="17">
        <f ca="1">IFERROR(IF(VALUE(RIGHT($B$82,2))&gt;$A105,0,AVERAGEIFS(Elec_On_Peak, 'Avoided AC'!$D:$D, $B105, 'Avoided AC'!$E:$E, "Winter") +
        INDEX(AEPS!$S$8:$S$37, MATCH($A105, 'General Inputs'!$F$3:$F$32, 0)) +
        OFFSET(DRIPE!$I$10, MATCH('Output (non-LI)'!$B105, DRIPE!$I$11:$I$30, 0), MATCH('Output (non-LI)'!$B$82, DRIPE!$J$10:$N$10, 0), 1, 1)),"Data Missing")</f>
        <v>121.6788149547281</v>
      </c>
      <c r="F105" s="17">
        <f ca="1">IFERROR(IF(VALUE(RIGHT($B$82,2))&gt;$A105,0,AVERAGEIFS(Elec_Off_Peak, 'Avoided AC'!$D:$D, $B105, 'Avoided AC'!$E:$E, "Winter") +
        INDEX(AEPS!$S$8:$S$37, MATCH($A105, 'General Inputs'!$F$3:$F$32, 0)) +
        OFFSET(DRIPE!$I$10, MATCH('Output (non-LI)'!$B105, DRIPE!$I$11:$I$30, 0), MATCH('Output (non-LI)'!$B$82, DRIPE!$J$10:$N$10, 0), 1, 1)),"Data Missing")</f>
        <v>97.762284910266814</v>
      </c>
      <c r="G105" s="17">
        <f ca="1">IFERROR(IF(VALUE(RIGHT($B$82,2))&gt;$A105,0,AVERAGEIFS(Elec_On_Peak, 'Avoided AC'!$D:$D, $B105, 'Avoided AC'!$E:$E, "Shoulder") +
        INDEX(AEPS!$S$8:$S$37, MATCH($A105, 'General Inputs'!$F$3:$F$32, 0)) +
        OFFSET(DRIPE!$I$10, MATCH('Output (non-LI)'!$B105, DRIPE!$I$11:$I$30, 0), MATCH('Output (non-LI)'!$B$82, DRIPE!$J$10:$N$10, 0), 1, 1)),"Data Missing")</f>
        <v>81.949025120226054</v>
      </c>
      <c r="H105" s="17">
        <f ca="1">IFERROR(IF(VALUE(RIGHT($B$82,2))&gt;$A105,0,AVERAGEIFS(Elec_Off_Peak, 'Avoided AC'!$D:$D, $B105, 'Avoided AC'!$E:$E, "Shoulder") +
        INDEX(AEPS!$S$8:$S$37, MATCH($A105, 'General Inputs'!$F$3:$F$32, 0)) +
        OFFSET(DRIPE!$I$10, MATCH('Output (non-LI)'!$B105, DRIPE!$I$11:$I$30, 0), MATCH('Output (non-LI)'!$B$82, DRIPE!$J$10:$N$10, 0), 1, 1)),"Data Missing")</f>
        <v>63.279161953050149</v>
      </c>
      <c r="I105" s="17">
        <f ca="1">(IF(VALUE(RIGHT($B$82,2))&gt;$A105,0,INDEX('Generation Capacity'!$E$27:$K$48,MATCH($A105,'Generation Capacity'!$B$27:$B$48,FALSE),MATCH(EDC_NAME,'Generation Capacity'!$E$26:$K$26,FALSE))+
        OFFSET(DRIPE!$B$35,MATCH('Output (non-LI)'!$B105,DRIPE!$B$11:$B$30,0),MATCH('Output (non-LI)'!$B$82,DRIPE!$C$10:$G$10,0),1,1)))</f>
        <v>37.596075464176728</v>
      </c>
      <c r="J105" s="17">
        <f ca="1">(IF(VALUE(RIGHT($B$82,2))&gt;$A105,0,INDEX('Generation Capacity'!$E$27:$K$48,MATCH($A105,'Generation Capacity'!$B$27:$B$48,FALSE),MATCH(EDC_NAME,'Generation Capacity'!$E$26:$K$26,FALSE))+
        OFFSET(DRIPE!$I$35,MATCH('Output (non-LI)'!$B105,DRIPE!$B$11:$B$30,0),MATCH('Output (non-LI)'!$B$82,DRIPE!$C$10:$G$10,0),1,1)))</f>
        <v>37.596075464176728</v>
      </c>
      <c r="K105" s="17">
        <f ca="1">IFERROR(IF(VALUE(RIGHT($B$82,2))&gt;$A105,0,INDEX('T&amp;D Capacity'!$E$4:$K$23,MATCH($A105,'T&amp;D Capacity'!$B$4:$B$23,FALSE),MATCH(EDC_NAME,'T&amp;D Capacity'!$E$3:$K$3,FALSE))),0)</f>
        <v>13.034500482237377</v>
      </c>
      <c r="L105" s="17">
        <f ca="1">IFERROR(IF(VALUE(RIGHT($B$82,2))&gt;$A105,0,INDEX('T&amp;D Capacity'!$E$28:$K$47,MATCH($A105,'T&amp;D Capacity'!$B$28:$B$47,FALSE),MATCH(EDC_NAME,'T&amp;D Capacity'!$E$27:$K$27,FALSE))),0)</f>
        <v>13.034500482237377</v>
      </c>
      <c r="M105" s="17">
        <f ca="1">IFERROR(IF(VALUE(RIGHT($B$82,2))&gt;$A105,0,INDEX('T&amp;D Capacity'!$M$4:$S$23,MATCH($A105,'T&amp;D Capacity'!$B$4:$B$23,FALSE),MATCH(EDC_NAME,'T&amp;D Capacity'!$M$3:$S$3,FALSE))),0)</f>
        <v>84.590741180640151</v>
      </c>
      <c r="N105" s="17">
        <f ca="1">IFERROR(IF(VALUE(RIGHT($B$82,2))&gt;$A105,0,INDEX('T&amp;D Capacity'!$M$28:$S$47,MATCH($A105,'T&amp;D Capacity'!$B$28:$B$47,FALSE),MATCH(EDC_NAME,'T&amp;D Capacity'!$M$27:$S$27,FALSE))),0)</f>
        <v>12.266243498749931</v>
      </c>
      <c r="O105" s="18">
        <f>IFERROR(IF(VALUE(RIGHT($B$82,2))&gt;$A105,0,IFERROR(AVERAGEIF('NG Futures'!$E:$E,$B105,'NG Futures'!$I:$I),"Data Missing")),0)</f>
        <v>5.4583218785801444</v>
      </c>
      <c r="P105" s="325"/>
    </row>
    <row r="106" spans="1:16" s="50" customFormat="1" ht="15" customHeight="1" x14ac:dyDescent="0.2"/>
    <row r="107" spans="1:16" s="50" customFormat="1" ht="15" customHeight="1" x14ac:dyDescent="0.2"/>
    <row r="108" spans="1:16" s="50" customFormat="1" ht="15" customHeight="1" x14ac:dyDescent="0.2"/>
    <row r="109" spans="1:16" s="50" customFormat="1" ht="15" customHeight="1" x14ac:dyDescent="0.2">
      <c r="A109" s="26" t="s">
        <v>115</v>
      </c>
      <c r="B109" s="27" t="s">
        <v>133</v>
      </c>
    </row>
    <row r="110" spans="1:16" s="50" customFormat="1" ht="15" customHeight="1" x14ac:dyDescent="0.2">
      <c r="A110" s="84"/>
      <c r="B110" s="84"/>
      <c r="C110" s="312"/>
      <c r="D110" s="312"/>
      <c r="E110" s="312"/>
      <c r="F110" s="312"/>
      <c r="G110" s="312"/>
      <c r="H110" s="312"/>
      <c r="I110" s="312"/>
      <c r="J110" s="312"/>
      <c r="K110" s="312"/>
      <c r="L110" s="312"/>
      <c r="M110" s="312"/>
      <c r="N110" s="312"/>
    </row>
    <row r="111" spans="1:16" s="50" customFormat="1" ht="41.1" customHeight="1" x14ac:dyDescent="0.2">
      <c r="A111" s="51"/>
      <c r="B111" s="51"/>
      <c r="C111" s="313" t="str">
        <f>EDC_NAME&amp;" Zone Summer ($/MWh)"</f>
        <v>West Penn Zone Summer ($/MWh)</v>
      </c>
      <c r="D111" s="313"/>
      <c r="E111" s="313" t="str">
        <f>EDC_NAME&amp;" Zone Winter ($/MWh)"</f>
        <v>West Penn Zone Winter ($/MWh)</v>
      </c>
      <c r="F111" s="313"/>
      <c r="G111" s="313" t="str">
        <f>EDC_NAME&amp;" DLC Zone Shoulder ($/MWh)"</f>
        <v>West Penn DLC Zone Shoulder ($/MWh)</v>
      </c>
      <c r="H111" s="313"/>
      <c r="I111" s="314" t="str">
        <f>EDC_NAME&amp;" Generation Capacity
($/kW/year)"</f>
        <v>West Penn Generation Capacity
($/kW/year)</v>
      </c>
      <c r="J111" s="315"/>
      <c r="K111" s="316" t="str">
        <f>EDC_NAME&amp;" Transmission Capacity
($/kW/year)"</f>
        <v>West Penn Transmission Capacity
($/kW/year)</v>
      </c>
      <c r="L111" s="316"/>
      <c r="M111" s="316" t="str">
        <f>EDC_NAME&amp;" Distribution Capacity
($/kW/year)"</f>
        <v>West Penn Distribution Capacity
($/kW/year)</v>
      </c>
      <c r="N111" s="316"/>
      <c r="O111" s="326" t="s">
        <v>118</v>
      </c>
      <c r="P111" s="51"/>
    </row>
    <row r="112" spans="1:16" s="50" customFormat="1" ht="50.1" customHeight="1" x14ac:dyDescent="0.2">
      <c r="A112" s="116" t="s">
        <v>119</v>
      </c>
      <c r="B112" s="116" t="s">
        <v>120</v>
      </c>
      <c r="C112" s="118" t="s">
        <v>121</v>
      </c>
      <c r="D112" s="118" t="s">
        <v>122</v>
      </c>
      <c r="E112" s="118" t="s">
        <v>123</v>
      </c>
      <c r="F112" s="118" t="s">
        <v>124</v>
      </c>
      <c r="G112" s="118" t="s">
        <v>125</v>
      </c>
      <c r="H112" s="118" t="s">
        <v>126</v>
      </c>
      <c r="I112" s="284" t="s">
        <v>107</v>
      </c>
      <c r="J112" s="284" t="s">
        <v>101</v>
      </c>
      <c r="K112" s="284" t="s">
        <v>107</v>
      </c>
      <c r="L112" s="284" t="s">
        <v>101</v>
      </c>
      <c r="M112" s="284" t="s">
        <v>107</v>
      </c>
      <c r="N112" s="284" t="s">
        <v>101</v>
      </c>
      <c r="O112" s="327"/>
    </row>
    <row r="113" spans="1:16" s="50" customFormat="1" ht="15" customHeight="1" x14ac:dyDescent="0.2">
      <c r="A113" s="123">
        <v>18</v>
      </c>
      <c r="B113" s="124">
        <f>Start_Year</f>
        <v>2027</v>
      </c>
      <c r="C113" s="119">
        <f ca="1">IFERROR(IF(VALUE(RIGHT($B$109,2))&gt;$A113,0,AVERAGEIFS(Elec_On_Peak, 'Avoided AC'!$D:$D, $B113, 'Avoided AC'!$E:$E, "Summer") +
        INDEX(AEPS!$S$8:$S$37, MATCH($A113, 'General Inputs'!$F$3:$F$32, 0)) +
        OFFSET(DRIPE!$I$10, MATCH('Output (non-LI)'!$B113, DRIPE!$I$11:$I$30, 0), MATCH('Output (non-LI)'!$B$109, DRIPE!$J$10:$N$10, 0), 1, 1)),"Data Missing")</f>
        <v>0</v>
      </c>
      <c r="D113" s="117">
        <f ca="1">IFERROR(IF(VALUE(RIGHT($B$109,2))&gt;$A113,0,AVERAGEIFS(Elec_Off_Peak, 'Avoided AC'!$D:$D, $B113, 'Avoided AC'!$E:$E, "Summer") +
        INDEX(AEPS!$S$8:$S$37, MATCH($A113, 'General Inputs'!$F$3:$F$32, 0)) +
        OFFSET(DRIPE!$I$10, MATCH('Output (non-LI)'!$B113, DRIPE!$I$11:$I$30, 0), MATCH('Output (non-LI)'!$B$109, DRIPE!$J$10:$N$10, 0), 1, 1)),"Data Missing")</f>
        <v>0</v>
      </c>
      <c r="E113" s="117">
        <f ca="1">IFERROR(IF(VALUE(RIGHT($B$109,2))&gt;$A113,0,AVERAGEIFS(Elec_On_Peak, 'Avoided AC'!$D:$D, $B113, 'Avoided AC'!$E:$E, "Winter") +
        INDEX(AEPS!$S$8:$S$37, MATCH($A113, 'General Inputs'!$F$3:$F$32, 0)) +
        OFFSET(DRIPE!$I$10, MATCH('Output (non-LI)'!$B113, DRIPE!$I$11:$I$30, 0), MATCH('Output (non-LI)'!$B$109, DRIPE!$J$10:$N$10, 0), 1, 1)),"Data Missing")</f>
        <v>0</v>
      </c>
      <c r="F113" s="117">
        <f ca="1">IFERROR(IF(VALUE(RIGHT($B$109,2))&gt;$A113,0,AVERAGEIFS(Elec_Off_Peak, 'Avoided AC'!$D:$D, $B113, 'Avoided AC'!$E:$E, "Winter") +
        INDEX(AEPS!$S$8:$S$37, MATCH($A113, 'General Inputs'!$F$3:$F$32, 0)) +
        OFFSET(DRIPE!$I$10, MATCH('Output (non-LI)'!$B113, DRIPE!$I$11:$I$30, 0), MATCH('Output (non-LI)'!$B$109, DRIPE!$J$10:$N$10, 0), 1, 1)),"Data Missing")</f>
        <v>0</v>
      </c>
      <c r="G113" s="117">
        <f ca="1">IFERROR(IF(VALUE(RIGHT($B$109,2))&gt;$A113,0,AVERAGEIFS(Elec_On_Peak, 'Avoided AC'!$D:$D, $B113, 'Avoided AC'!$E:$E, "Shoulder") +
        INDEX(AEPS!$S$8:$S$37, MATCH($A113, 'General Inputs'!$F$3:$F$32, 0)) +
        OFFSET(DRIPE!$I$10, MATCH('Output (non-LI)'!$B113, DRIPE!$I$11:$I$30, 0), MATCH('Output (non-LI)'!$B$109, DRIPE!$J$10:$N$10, 0), 1, 1)),"Data Missing")</f>
        <v>0</v>
      </c>
      <c r="H113" s="117">
        <f ca="1">IFERROR(IF(VALUE(RIGHT($B$109,2))&gt;$A113,0,AVERAGEIFS(Elec_Off_Peak, 'Avoided AC'!$D:$D, $B113, 'Avoided AC'!$E:$E, "Shoulder") +
        INDEX(AEPS!$S$8:$S$37, MATCH($A113, 'General Inputs'!$F$3:$F$32, 0)) +
        OFFSET(DRIPE!$I$10, MATCH('Output (non-LI)'!$B113, DRIPE!$I$11:$I$30, 0), MATCH('Output (non-LI)'!$B$109, DRIPE!$J$10:$N$10, 0), 1, 1)),"Data Missing")</f>
        <v>0</v>
      </c>
      <c r="I113" s="117">
        <f ca="1">(IF(VALUE(RIGHT($B$109,2))&gt;$A113,0,INDEX('Generation Capacity'!$E$27:$K$48,MATCH($A113,'Generation Capacity'!$B$27:$B$48,FALSE),MATCH(EDC_NAME,'Generation Capacity'!$E$26:$K$26,FALSE))+
        OFFSET(DRIPE!$B$35,MATCH('Output (non-LI)'!$B113,DRIPE!$B$11:$B$30,0),MATCH('Output (non-LI)'!$B$109,DRIPE!$C$10:$G$10,0),1,1)))</f>
        <v>0</v>
      </c>
      <c r="J113" s="117">
        <f ca="1">(IF(VALUE(RIGHT($B$109,2))&gt;$A113,0,INDEX('Generation Capacity'!$E$27:$K$48,MATCH($A113,'Generation Capacity'!$B$27:$B$48,FALSE),MATCH(EDC_NAME,'Generation Capacity'!$E$26:$K$26,FALSE))+
        OFFSET(DRIPE!$I$35,MATCH('Output (non-LI)'!$B113,DRIPE!$B$11:$B$30,0),MATCH('Output (non-LI)'!$B$109,DRIPE!$C$10:$G$10,0),1,1)))</f>
        <v>0</v>
      </c>
      <c r="K113" s="117">
        <f>IFERROR(IF(VALUE(RIGHT($B$109,2))&gt;$A113,0,INDEX('T&amp;D Capacity'!$E$4:$K$23,MATCH($A113,'T&amp;D Capacity'!$B$4:$B$23,FALSE),MATCH(EDC_NAME,'T&amp;D Capacity'!$E$3:$K$3,FALSE))),0)</f>
        <v>0</v>
      </c>
      <c r="L113" s="117">
        <f>IFERROR(IF(VALUE(RIGHT($B$109,2))&gt;$A113,0,INDEX('T&amp;D Capacity'!$E$28:$K$47,MATCH($A113,'T&amp;D Capacity'!$B$28:$B$47,FALSE),MATCH(EDC_NAME,'T&amp;D Capacity'!$E$27:$K$27,FALSE))),0)</f>
        <v>0</v>
      </c>
      <c r="M113" s="117">
        <f>IFERROR(IF(VALUE(RIGHT($B$109,2))&gt;$A113,0,INDEX('T&amp;D Capacity'!$M$4:$S$23,MATCH($A113,'T&amp;D Capacity'!$B$4:$B$23,FALSE),MATCH(EDC_NAME,'T&amp;D Capacity'!$M$3:$S$3,FALSE))),0)</f>
        <v>0</v>
      </c>
      <c r="N113" s="117">
        <f>IFERROR(IF(VALUE(RIGHT($B$109,2))&gt;$A113,0,INDEX('T&amp;D Capacity'!$M$28:$S$47,MATCH($A113,'T&amp;D Capacity'!$B$28:$B$47,FALSE),MATCH(EDC_NAME,'T&amp;D Capacity'!$M$27:$S$27,FALSE))),0)</f>
        <v>0</v>
      </c>
      <c r="O113" s="57">
        <f>IFERROR(IF(VALUE(RIGHT($B$109,2))&gt;$A113,0,IFERROR(AVERAGEIF('NG Futures'!$E:$E,$B113,'NG Futures'!$I:$I),"Data Missing")),0)</f>
        <v>0</v>
      </c>
      <c r="P113" s="317" t="s">
        <v>127</v>
      </c>
    </row>
    <row r="114" spans="1:16" s="50" customFormat="1" ht="15" customHeight="1" x14ac:dyDescent="0.2">
      <c r="A114" s="124">
        <f>A113+1</f>
        <v>19</v>
      </c>
      <c r="B114" s="124">
        <f>B113+1</f>
        <v>2028</v>
      </c>
      <c r="C114" s="120">
        <f ca="1">IFERROR(IF(VALUE(RIGHT($B$109,2))&gt;$A114,0,AVERAGEIFS(Elec_On_Peak, 'Avoided AC'!$D:$D, $B114, 'Avoided AC'!$E:$E, "Summer") +
        INDEX(AEPS!$S$8:$S$37, MATCH($A114, 'General Inputs'!$F$3:$F$32, 0)) +
        OFFSET(DRIPE!$I$10, MATCH('Output (non-LI)'!$B114, DRIPE!$I$11:$I$30, 0), MATCH('Output (non-LI)'!$B$109, DRIPE!$J$10:$N$10, 0), 1, 1)),"Data Missing")</f>
        <v>0</v>
      </c>
      <c r="D114" s="14">
        <f ca="1">IFERROR(IF(VALUE(RIGHT($B$109,2))&gt;$A114,0,AVERAGEIFS(Elec_Off_Peak, 'Avoided AC'!$D:$D, $B114, 'Avoided AC'!$E:$E, "Summer") +
        INDEX(AEPS!$S$8:$S$37, MATCH($A114, 'General Inputs'!$F$3:$F$32, 0)) +
        OFFSET(DRIPE!$I$10, MATCH('Output (non-LI)'!$B114, DRIPE!$I$11:$I$30, 0), MATCH('Output (non-LI)'!$B$109, DRIPE!$J$10:$N$10, 0), 1, 1)),"Data Missing")</f>
        <v>0</v>
      </c>
      <c r="E114" s="14">
        <f ca="1">IFERROR(IF(VALUE(RIGHT($B$109,2))&gt;$A114,0,AVERAGEIFS(Elec_On_Peak, 'Avoided AC'!$D:$D, $B114, 'Avoided AC'!$E:$E, "Winter") +
        INDEX(AEPS!$S$8:$S$37, MATCH($A114, 'General Inputs'!$F$3:$F$32, 0)) +
        OFFSET(DRIPE!$I$10, MATCH('Output (non-LI)'!$B114, DRIPE!$I$11:$I$30, 0), MATCH('Output (non-LI)'!$B$109, DRIPE!$J$10:$N$10, 0), 1, 1)),"Data Missing")</f>
        <v>0</v>
      </c>
      <c r="F114" s="14">
        <f ca="1">IFERROR(IF(VALUE(RIGHT($B$109,2))&gt;$A114,0,AVERAGEIFS(Elec_Off_Peak, 'Avoided AC'!$D:$D, $B114, 'Avoided AC'!$E:$E, "Winter") +
        INDEX(AEPS!$S$8:$S$37, MATCH($A114, 'General Inputs'!$F$3:$F$32, 0)) +
        OFFSET(DRIPE!$I$10, MATCH('Output (non-LI)'!$B114, DRIPE!$I$11:$I$30, 0), MATCH('Output (non-LI)'!$B$109, DRIPE!$J$10:$N$10, 0), 1, 1)),"Data Missing")</f>
        <v>0</v>
      </c>
      <c r="G114" s="14">
        <f ca="1">IFERROR(IF(VALUE(RIGHT($B$109,2))&gt;$A114,0,AVERAGEIFS(Elec_On_Peak, 'Avoided AC'!$D:$D, $B114, 'Avoided AC'!$E:$E, "Shoulder") +
        INDEX(AEPS!$S$8:$S$37, MATCH($A114, 'General Inputs'!$F$3:$F$32, 0)) +
        OFFSET(DRIPE!$I$10, MATCH('Output (non-LI)'!$B114, DRIPE!$I$11:$I$30, 0), MATCH('Output (non-LI)'!$B$109, DRIPE!$J$10:$N$10, 0), 1, 1)),"Data Missing")</f>
        <v>0</v>
      </c>
      <c r="H114" s="14">
        <f ca="1">IFERROR(IF(VALUE(RIGHT($B$109,2))&gt;$A114,0,AVERAGEIFS(Elec_Off_Peak, 'Avoided AC'!$D:$D, $B114, 'Avoided AC'!$E:$E, "Shoulder") +
        INDEX(AEPS!$S$8:$S$37, MATCH($A114, 'General Inputs'!$F$3:$F$32, 0)) +
        OFFSET(DRIPE!$I$10, MATCH('Output (non-LI)'!$B114, DRIPE!$I$11:$I$30, 0), MATCH('Output (non-LI)'!$B$109, DRIPE!$J$10:$N$10, 0), 1, 1)),"Data Missing")</f>
        <v>0</v>
      </c>
      <c r="I114" s="14">
        <f ca="1">(IF(VALUE(RIGHT($B$109,2))&gt;$A114,0,INDEX('Generation Capacity'!$E$27:$K$48,MATCH($A114,'Generation Capacity'!$B$27:$B$48,FALSE),MATCH(EDC_NAME,'Generation Capacity'!$E$26:$K$26,FALSE))+
        OFFSET(DRIPE!$B$35,MATCH('Output (non-LI)'!$B114,DRIPE!$B$11:$B$30,0),MATCH('Output (non-LI)'!$B$109,DRIPE!$C$10:$G$10,0),1,1)))</f>
        <v>0</v>
      </c>
      <c r="J114" s="14">
        <f ca="1">(IF(VALUE(RIGHT($B$109,2))&gt;$A114,0,INDEX('Generation Capacity'!$E$27:$K$48,MATCH($A114,'Generation Capacity'!$B$27:$B$48,FALSE),MATCH(EDC_NAME,'Generation Capacity'!$E$26:$K$26,FALSE))+
        OFFSET(DRIPE!$I$35,MATCH('Output (non-LI)'!$B114,DRIPE!$B$11:$B$30,0),MATCH('Output (non-LI)'!$B$109,DRIPE!$C$10:$G$10,0),1,1)))</f>
        <v>0</v>
      </c>
      <c r="K114" s="14">
        <f>IFERROR(IF(VALUE(RIGHT($B$109,2))&gt;$A114,0,INDEX('T&amp;D Capacity'!$E$4:$K$23,MATCH($A114,'T&amp;D Capacity'!$B$4:$B$23,FALSE),MATCH(EDC_NAME,'T&amp;D Capacity'!$E$3:$K$3,FALSE))),0)</f>
        <v>0</v>
      </c>
      <c r="L114" s="14">
        <f>IFERROR(IF(VALUE(RIGHT($B$109,2))&gt;$A114,0,INDEX('T&amp;D Capacity'!$E$28:$K$47,MATCH($A114,'T&amp;D Capacity'!$B$28:$B$47,FALSE),MATCH(EDC_NAME,'T&amp;D Capacity'!$E$27:$K$27,FALSE))),0)</f>
        <v>0</v>
      </c>
      <c r="M114" s="14">
        <f>IFERROR(IF(VALUE(RIGHT($B$109,2))&gt;$A114,0,INDEX('T&amp;D Capacity'!$M$4:$S$23,MATCH($A114,'T&amp;D Capacity'!$B$4:$B$23,FALSE),MATCH(EDC_NAME,'T&amp;D Capacity'!$M$3:$S$3,FALSE))),0)</f>
        <v>0</v>
      </c>
      <c r="N114" s="14">
        <f>IFERROR(IF(VALUE(RIGHT($B$109,2))&gt;$A114,0,INDEX('T&amp;D Capacity'!$M$28:$S$47,MATCH($A114,'T&amp;D Capacity'!$B$28:$B$47,FALSE),MATCH(EDC_NAME,'T&amp;D Capacity'!$M$27:$S$27,FALSE))),0)</f>
        <v>0</v>
      </c>
      <c r="O114" s="57">
        <f>IFERROR(IF(VALUE(RIGHT($B$109,2))&gt;$A114,0,IFERROR(AVERAGEIF('NG Futures'!$E:$E,$B114,'NG Futures'!$I:$I),"Data Missing")),0)</f>
        <v>0</v>
      </c>
      <c r="P114" s="318"/>
    </row>
    <row r="115" spans="1:16" s="50" customFormat="1" ht="15" customHeight="1" x14ac:dyDescent="0.2">
      <c r="A115" s="124">
        <f t="shared" ref="A115:B115" si="56">A114+1</f>
        <v>20</v>
      </c>
      <c r="B115" s="124">
        <f t="shared" si="56"/>
        <v>2029</v>
      </c>
      <c r="C115" s="120">
        <f ca="1">IFERROR(IF(VALUE(RIGHT($B$109,2))&gt;$A115,0,AVERAGEIFS(Elec_On_Peak, 'Avoided AC'!$D:$D, $B115, 'Avoided AC'!$E:$E, "Summer") +
        INDEX(AEPS!$S$8:$S$37, MATCH($A115, 'General Inputs'!$F$3:$F$32, 0)) +
        OFFSET(DRIPE!$I$10, MATCH('Output (non-LI)'!$B115, DRIPE!$I$11:$I$30, 0), MATCH('Output (non-LI)'!$B$109, DRIPE!$J$10:$N$10, 0), 1, 1)),"Data Missing")</f>
        <v>0</v>
      </c>
      <c r="D115" s="14">
        <f ca="1">IFERROR(IF(VALUE(RIGHT($B$109,2))&gt;$A115,0,AVERAGEIFS(Elec_Off_Peak, 'Avoided AC'!$D:$D, $B115, 'Avoided AC'!$E:$E, "Summer") +
        INDEX(AEPS!$S$8:$S$37, MATCH($A115, 'General Inputs'!$F$3:$F$32, 0)) +
        OFFSET(DRIPE!$I$10, MATCH('Output (non-LI)'!$B115, DRIPE!$I$11:$I$30, 0), MATCH('Output (non-LI)'!$B$109, DRIPE!$J$10:$N$10, 0), 1, 1)),"Data Missing")</f>
        <v>0</v>
      </c>
      <c r="E115" s="14">
        <f ca="1">IFERROR(IF(VALUE(RIGHT($B$109,2))&gt;$A115,0,AVERAGEIFS(Elec_On_Peak, 'Avoided AC'!$D:$D, $B115, 'Avoided AC'!$E:$E, "Winter") +
        INDEX(AEPS!$S$8:$S$37, MATCH($A115, 'General Inputs'!$F$3:$F$32, 0)) +
        OFFSET(DRIPE!$I$10, MATCH('Output (non-LI)'!$B115, DRIPE!$I$11:$I$30, 0), MATCH('Output (non-LI)'!$B$109, DRIPE!$J$10:$N$10, 0), 1, 1)),"Data Missing")</f>
        <v>0</v>
      </c>
      <c r="F115" s="14">
        <f ca="1">IFERROR(IF(VALUE(RIGHT($B$109,2))&gt;$A115,0,AVERAGEIFS(Elec_Off_Peak, 'Avoided AC'!$D:$D, $B115, 'Avoided AC'!$E:$E, "Winter") +
        INDEX(AEPS!$S$8:$S$37, MATCH($A115, 'General Inputs'!$F$3:$F$32, 0)) +
        OFFSET(DRIPE!$I$10, MATCH('Output (non-LI)'!$B115, DRIPE!$I$11:$I$30, 0), MATCH('Output (non-LI)'!$B$109, DRIPE!$J$10:$N$10, 0), 1, 1)),"Data Missing")</f>
        <v>0</v>
      </c>
      <c r="G115" s="14">
        <f ca="1">IFERROR(IF(VALUE(RIGHT($B$109,2))&gt;$A115,0,AVERAGEIFS(Elec_On_Peak, 'Avoided AC'!$D:$D, $B115, 'Avoided AC'!$E:$E, "Shoulder") +
        INDEX(AEPS!$S$8:$S$37, MATCH($A115, 'General Inputs'!$F$3:$F$32, 0)) +
        OFFSET(DRIPE!$I$10, MATCH('Output (non-LI)'!$B115, DRIPE!$I$11:$I$30, 0), MATCH('Output (non-LI)'!$B$109, DRIPE!$J$10:$N$10, 0), 1, 1)),"Data Missing")</f>
        <v>0</v>
      </c>
      <c r="H115" s="14">
        <f ca="1">IFERROR(IF(VALUE(RIGHT($B$109,2))&gt;$A115,0,AVERAGEIFS(Elec_Off_Peak, 'Avoided AC'!$D:$D, $B115, 'Avoided AC'!$E:$E, "Shoulder") +
        INDEX(AEPS!$S$8:$S$37, MATCH($A115, 'General Inputs'!$F$3:$F$32, 0)) +
        OFFSET(DRIPE!$I$10, MATCH('Output (non-LI)'!$B115, DRIPE!$I$11:$I$30, 0), MATCH('Output (non-LI)'!$B$109, DRIPE!$J$10:$N$10, 0), 1, 1)),"Data Missing")</f>
        <v>0</v>
      </c>
      <c r="I115" s="14">
        <f ca="1">(IF(VALUE(RIGHT($B$109,2))&gt;$A115,0,INDEX('Generation Capacity'!$E$27:$K$48,MATCH($A115,'Generation Capacity'!$B$27:$B$48,FALSE),MATCH(EDC_NAME,'Generation Capacity'!$E$26:$K$26,FALSE))+
        OFFSET(DRIPE!$B$35,MATCH('Output (non-LI)'!$B115,DRIPE!$B$11:$B$30,0),MATCH('Output (non-LI)'!$B$109,DRIPE!$C$10:$G$10,0),1,1)))</f>
        <v>0</v>
      </c>
      <c r="J115" s="14">
        <f ca="1">(IF(VALUE(RIGHT($B$109,2))&gt;$A115,0,INDEX('Generation Capacity'!$E$27:$K$48,MATCH($A115,'Generation Capacity'!$B$27:$B$48,FALSE),MATCH(EDC_NAME,'Generation Capacity'!$E$26:$K$26,FALSE))+
        OFFSET(DRIPE!$I$35,MATCH('Output (non-LI)'!$B115,DRIPE!$B$11:$B$30,0),MATCH('Output (non-LI)'!$B$109,DRIPE!$C$10:$G$10,0),1,1)))</f>
        <v>0</v>
      </c>
      <c r="K115" s="14">
        <f>IFERROR(IF(VALUE(RIGHT($B$109,2))&gt;$A115,0,INDEX('T&amp;D Capacity'!$E$4:$K$23,MATCH($A115,'T&amp;D Capacity'!$B$4:$B$23,FALSE),MATCH(EDC_NAME,'T&amp;D Capacity'!$E$3:$K$3,FALSE))),0)</f>
        <v>0</v>
      </c>
      <c r="L115" s="14">
        <f>IFERROR(IF(VALUE(RIGHT($B$109,2))&gt;$A115,0,INDEX('T&amp;D Capacity'!$E$28:$K$47,MATCH($A115,'T&amp;D Capacity'!$B$28:$B$47,FALSE),MATCH(EDC_NAME,'T&amp;D Capacity'!$E$27:$K$27,FALSE))),0)</f>
        <v>0</v>
      </c>
      <c r="M115" s="14">
        <f>IFERROR(IF(VALUE(RIGHT($B$109,2))&gt;$A115,0,INDEX('T&amp;D Capacity'!$M$4:$S$23,MATCH($A115,'T&amp;D Capacity'!$B$4:$B$23,FALSE),MATCH(EDC_NAME,'T&amp;D Capacity'!$M$3:$S$3,FALSE))),0)</f>
        <v>0</v>
      </c>
      <c r="N115" s="14">
        <f>IFERROR(IF(VALUE(RIGHT($B$109,2))&gt;$A115,0,INDEX('T&amp;D Capacity'!$M$28:$S$47,MATCH($A115,'T&amp;D Capacity'!$B$28:$B$47,FALSE),MATCH(EDC_NAME,'T&amp;D Capacity'!$M$27:$S$27,FALSE))),0)</f>
        <v>0</v>
      </c>
      <c r="O115" s="57">
        <f>IFERROR(IF(VALUE(RIGHT($B$109,2))&gt;$A115,0,IFERROR(AVERAGEIF('NG Futures'!$E:$E,$B115,'NG Futures'!$I:$I),"Data Missing")),0)</f>
        <v>0</v>
      </c>
      <c r="P115" s="318"/>
    </row>
    <row r="116" spans="1:16" s="50" customFormat="1" ht="15" customHeight="1" x14ac:dyDescent="0.2">
      <c r="A116" s="124">
        <f t="shared" ref="A116:B116" si="57">A115+1</f>
        <v>21</v>
      </c>
      <c r="B116" s="124">
        <f t="shared" si="57"/>
        <v>2030</v>
      </c>
      <c r="C116" s="120">
        <f ca="1">IFERROR(IF(VALUE(RIGHT($B$109,2))&gt;$A116,0,AVERAGEIFS(Elec_On_Peak, 'Avoided AC'!$D:$D, $B116, 'Avoided AC'!$E:$E, "Summer") +
        INDEX(AEPS!$S$8:$S$37, MATCH($A116, 'General Inputs'!$F$3:$F$32, 0)) +
        OFFSET(DRIPE!$I$10, MATCH('Output (non-LI)'!$B116, DRIPE!$I$11:$I$30, 0), MATCH('Output (non-LI)'!$B$109, DRIPE!$J$10:$N$10, 0), 1, 1)),"Data Missing")</f>
        <v>0</v>
      </c>
      <c r="D116" s="14">
        <f ca="1">IFERROR(IF(VALUE(RIGHT($B$109,2))&gt;$A116,0,AVERAGEIFS(Elec_Off_Peak, 'Avoided AC'!$D:$D, $B116, 'Avoided AC'!$E:$E, "Summer") +
        INDEX(AEPS!$S$8:$S$37, MATCH($A116, 'General Inputs'!$F$3:$F$32, 0)) +
        OFFSET(DRIPE!$I$10, MATCH('Output (non-LI)'!$B116, DRIPE!$I$11:$I$30, 0), MATCH('Output (non-LI)'!$B$109, DRIPE!$J$10:$N$10, 0), 1, 1)),"Data Missing")</f>
        <v>0</v>
      </c>
      <c r="E116" s="14">
        <f ca="1">IFERROR(IF(VALUE(RIGHT($B$109,2))&gt;$A116,0,AVERAGEIFS(Elec_On_Peak, 'Avoided AC'!$D:$D, $B116, 'Avoided AC'!$E:$E, "Winter") +
        INDEX(AEPS!$S$8:$S$37, MATCH($A116, 'General Inputs'!$F$3:$F$32, 0)) +
        OFFSET(DRIPE!$I$10, MATCH('Output (non-LI)'!$B116, DRIPE!$I$11:$I$30, 0), MATCH('Output (non-LI)'!$B$109, DRIPE!$J$10:$N$10, 0), 1, 1)),"Data Missing")</f>
        <v>0</v>
      </c>
      <c r="F116" s="14">
        <f ca="1">IFERROR(IF(VALUE(RIGHT($B$109,2))&gt;$A116,0,AVERAGEIFS(Elec_Off_Peak, 'Avoided AC'!$D:$D, $B116, 'Avoided AC'!$E:$E, "Winter") +
        INDEX(AEPS!$S$8:$S$37, MATCH($A116, 'General Inputs'!$F$3:$F$32, 0)) +
        OFFSET(DRIPE!$I$10, MATCH('Output (non-LI)'!$B116, DRIPE!$I$11:$I$30, 0), MATCH('Output (non-LI)'!$B$109, DRIPE!$J$10:$N$10, 0), 1, 1)),"Data Missing")</f>
        <v>0</v>
      </c>
      <c r="G116" s="14">
        <f ca="1">IFERROR(IF(VALUE(RIGHT($B$109,2))&gt;$A116,0,AVERAGEIFS(Elec_On_Peak, 'Avoided AC'!$D:$D, $B116, 'Avoided AC'!$E:$E, "Shoulder") +
        INDEX(AEPS!$S$8:$S$37, MATCH($A116, 'General Inputs'!$F$3:$F$32, 0)) +
        OFFSET(DRIPE!$I$10, MATCH('Output (non-LI)'!$B116, DRIPE!$I$11:$I$30, 0), MATCH('Output (non-LI)'!$B$109, DRIPE!$J$10:$N$10, 0), 1, 1)),"Data Missing")</f>
        <v>0</v>
      </c>
      <c r="H116" s="14">
        <f ca="1">IFERROR(IF(VALUE(RIGHT($B$109,2))&gt;$A116,0,AVERAGEIFS(Elec_Off_Peak, 'Avoided AC'!$D:$D, $B116, 'Avoided AC'!$E:$E, "Shoulder") +
        INDEX(AEPS!$S$8:$S$37, MATCH($A116, 'General Inputs'!$F$3:$F$32, 0)) +
        OFFSET(DRIPE!$I$10, MATCH('Output (non-LI)'!$B116, DRIPE!$I$11:$I$30, 0), MATCH('Output (non-LI)'!$B$109, DRIPE!$J$10:$N$10, 0), 1, 1)),"Data Missing")</f>
        <v>0</v>
      </c>
      <c r="I116" s="14">
        <f ca="1">(IF(VALUE(RIGHT($B$109,2))&gt;$A116,0,INDEX('Generation Capacity'!$E$27:$K$48,MATCH($A116,'Generation Capacity'!$B$27:$B$48,FALSE),MATCH(EDC_NAME,'Generation Capacity'!$E$26:$K$26,FALSE))+
        OFFSET(DRIPE!$B$35,MATCH('Output (non-LI)'!$B116,DRIPE!$B$11:$B$30,0),MATCH('Output (non-LI)'!$B$109,DRIPE!$C$10:$G$10,0),1,1)))</f>
        <v>0</v>
      </c>
      <c r="J116" s="14">
        <f ca="1">(IF(VALUE(RIGHT($B$109,2))&gt;$A116,0,INDEX('Generation Capacity'!$E$27:$K$48,MATCH($A116,'Generation Capacity'!$B$27:$B$48,FALSE),MATCH(EDC_NAME,'Generation Capacity'!$E$26:$K$26,FALSE))+
        OFFSET(DRIPE!$I$35,MATCH('Output (non-LI)'!$B116,DRIPE!$B$11:$B$30,0),MATCH('Output (non-LI)'!$B$109,DRIPE!$C$10:$G$10,0),1,1)))</f>
        <v>0</v>
      </c>
      <c r="K116" s="14">
        <f>IFERROR(IF(VALUE(RIGHT($B$109,2))&gt;$A116,0,INDEX('T&amp;D Capacity'!$E$4:$K$23,MATCH($A116,'T&amp;D Capacity'!$B$4:$B$23,FALSE),MATCH(EDC_NAME,'T&amp;D Capacity'!$E$3:$K$3,FALSE))),0)</f>
        <v>0</v>
      </c>
      <c r="L116" s="14">
        <f>IFERROR(IF(VALUE(RIGHT($B$109,2))&gt;$A116,0,INDEX('T&amp;D Capacity'!$E$28:$K$47,MATCH($A116,'T&amp;D Capacity'!$B$28:$B$47,FALSE),MATCH(EDC_NAME,'T&amp;D Capacity'!$E$27:$K$27,FALSE))),0)</f>
        <v>0</v>
      </c>
      <c r="M116" s="14">
        <f>IFERROR(IF(VALUE(RIGHT($B$109,2))&gt;$A116,0,INDEX('T&amp;D Capacity'!$M$4:$S$23,MATCH($A116,'T&amp;D Capacity'!$B$4:$B$23,FALSE),MATCH(EDC_NAME,'T&amp;D Capacity'!$M$3:$S$3,FALSE))),0)</f>
        <v>0</v>
      </c>
      <c r="N116" s="14">
        <f>IFERROR(IF(VALUE(RIGHT($B$109,2))&gt;$A116,0,INDEX('T&amp;D Capacity'!$M$28:$S$47,MATCH($A116,'T&amp;D Capacity'!$B$28:$B$47,FALSE),MATCH(EDC_NAME,'T&amp;D Capacity'!$M$27:$S$27,FALSE))),0)</f>
        <v>0</v>
      </c>
      <c r="O116" s="57">
        <f>IFERROR(IF(VALUE(RIGHT($B$109,2))&gt;$A116,0,IFERROR(AVERAGEIF('NG Futures'!$E:$E,$B116,'NG Futures'!$I:$I),"Data Missing")),0)</f>
        <v>0</v>
      </c>
      <c r="P116" s="319"/>
    </row>
    <row r="117" spans="1:16" s="50" customFormat="1" ht="15" customHeight="1" x14ac:dyDescent="0.2">
      <c r="A117" s="124">
        <f t="shared" ref="A117:B117" si="58">A116+1</f>
        <v>22</v>
      </c>
      <c r="B117" s="124">
        <f t="shared" si="58"/>
        <v>2031</v>
      </c>
      <c r="C117" s="121">
        <f ca="1">IFERROR(IF(VALUE(RIGHT($B$109,2))&gt;$A117,0,AVERAGEIFS(Elec_On_Peak, 'Avoided AC'!$D:$D, $B117, 'Avoided AC'!$E:$E, "Summer") +
        INDEX(AEPS!$S$8:$S$37, MATCH($A117, 'General Inputs'!$F$3:$F$32, 0)) +
        OFFSET(DRIPE!$I$10, MATCH('Output (non-LI)'!$B117, DRIPE!$I$11:$I$30, 0), MATCH('Output (non-LI)'!$B$109, DRIPE!$J$10:$N$10, 0), 1, 1)),"Data Missing")</f>
        <v>90.62378504452343</v>
      </c>
      <c r="D117" s="15">
        <f ca="1">IFERROR(IF(VALUE(RIGHT($B$109,2))&gt;$A117,0,AVERAGEIFS(Elec_Off_Peak, 'Avoided AC'!$D:$D, $B117, 'Avoided AC'!$E:$E, "Summer") +
        INDEX(AEPS!$S$8:$S$37, MATCH($A117, 'General Inputs'!$F$3:$F$32, 0)) +
        OFFSET(DRIPE!$I$10, MATCH('Output (non-LI)'!$B117, DRIPE!$I$11:$I$30, 0), MATCH('Output (non-LI)'!$B$109, DRIPE!$J$10:$N$10, 0), 1, 1)),"Data Missing")</f>
        <v>60.677852442793395</v>
      </c>
      <c r="E117" s="15">
        <f ca="1">IFERROR(IF(VALUE(RIGHT($B$109,2))&gt;$A117,0,AVERAGEIFS(Elec_On_Peak, 'Avoided AC'!$D:$D, $B117, 'Avoided AC'!$E:$E, "Winter") +
        INDEX(AEPS!$S$8:$S$37, MATCH($A117, 'General Inputs'!$F$3:$F$32, 0)) +
        OFFSET(DRIPE!$I$10, MATCH('Output (non-LI)'!$B117, DRIPE!$I$11:$I$30, 0), MATCH('Output (non-LI)'!$B$109, DRIPE!$J$10:$N$10, 0), 1, 1)),"Data Missing")</f>
        <v>97.93922486782273</v>
      </c>
      <c r="F117" s="15">
        <f ca="1">IFERROR(IF(VALUE(RIGHT($B$109,2))&gt;$A117,0,AVERAGEIFS(Elec_Off_Peak, 'Avoided AC'!$D:$D, $B117, 'Avoided AC'!$E:$E, "Winter") +
        INDEX(AEPS!$S$8:$S$37, MATCH($A117, 'General Inputs'!$F$3:$F$32, 0)) +
        OFFSET(DRIPE!$I$10, MATCH('Output (non-LI)'!$B117, DRIPE!$I$11:$I$30, 0), MATCH('Output (non-LI)'!$B$109, DRIPE!$J$10:$N$10, 0), 1, 1)),"Data Missing")</f>
        <v>85.832194104912631</v>
      </c>
      <c r="G117" s="15">
        <f ca="1">IFERROR(IF(VALUE(RIGHT($B$109,2))&gt;$A117,0,AVERAGEIFS(Elec_On_Peak, 'Avoided AC'!$D:$D, $B117, 'Avoided AC'!$E:$E, "Shoulder") +
        INDEX(AEPS!$S$8:$S$37, MATCH($A117, 'General Inputs'!$F$3:$F$32, 0)) +
        OFFSET(DRIPE!$I$10, MATCH('Output (non-LI)'!$B117, DRIPE!$I$11:$I$30, 0), MATCH('Output (non-LI)'!$B$109, DRIPE!$J$10:$N$10, 0), 1, 1)),"Data Missing")</f>
        <v>76.607600195495934</v>
      </c>
      <c r="H117" s="15">
        <f ca="1">IFERROR(IF(VALUE(RIGHT($B$109,2))&gt;$A117,0,AVERAGEIFS(Elec_Off_Peak, 'Avoided AC'!$D:$D, $B117, 'Avoided AC'!$E:$E, "Shoulder") +
        INDEX(AEPS!$S$8:$S$37, MATCH($A117, 'General Inputs'!$F$3:$F$32, 0)) +
        OFFSET(DRIPE!$I$10, MATCH('Output (non-LI)'!$B117, DRIPE!$I$11:$I$30, 0), MATCH('Output (non-LI)'!$B$109, DRIPE!$J$10:$N$10, 0), 1, 1)),"Data Missing")</f>
        <v>64.019285342789615</v>
      </c>
      <c r="I117" s="15">
        <f ca="1">(IF(VALUE(RIGHT($B$109,2))&gt;$A117,0,INDEX('Generation Capacity'!$E$27:$K$48,MATCH($A117,'Generation Capacity'!$B$27:$B$48,FALSE),MATCH(EDC_NAME,'Generation Capacity'!$E$26:$K$26,FALSE))+
        OFFSET(DRIPE!$B$35,MATCH('Output (non-LI)'!$B117,DRIPE!$B$11:$B$30,0),MATCH('Output (non-LI)'!$B$109,DRIPE!$C$10:$G$10,0),1,1)))</f>
        <v>41.192179915077226</v>
      </c>
      <c r="J117" s="15">
        <f ca="1">(IF(VALUE(RIGHT($B$109,2))&gt;$A117,0,INDEX('Generation Capacity'!$E$27:$K$48,MATCH($A117,'Generation Capacity'!$B$27:$B$48,FALSE),MATCH(EDC_NAME,'Generation Capacity'!$E$26:$K$26,FALSE))+
        OFFSET(DRIPE!$I$35,MATCH('Output (non-LI)'!$B117,DRIPE!$B$11:$B$30,0),MATCH('Output (non-LI)'!$B$109,DRIPE!$C$10:$G$10,0),1,1)))</f>
        <v>41.192179915077226</v>
      </c>
      <c r="K117" s="15">
        <f ca="1">IFERROR(IF(VALUE(RIGHT($B$109,2))&gt;$A117,0,INDEX('T&amp;D Capacity'!$E$4:$K$23,MATCH($A117,'T&amp;D Capacity'!$B$4:$B$23,FALSE),MATCH(EDC_NAME,'T&amp;D Capacity'!$E$3:$K$3,FALSE))),0)</f>
        <v>9.5835004846843326</v>
      </c>
      <c r="L117" s="15">
        <f ca="1">IFERROR(IF(VALUE(RIGHT($B$109,2))&gt;$A117,0,INDEX('T&amp;D Capacity'!$E$28:$K$47,MATCH($A117,'T&amp;D Capacity'!$B$28:$B$47,FALSE),MATCH(EDC_NAME,'T&amp;D Capacity'!$E$27:$K$27,FALSE))),0)</f>
        <v>9.5835004846843326</v>
      </c>
      <c r="M117" s="15">
        <f>IFERROR(IF(VALUE(RIGHT($B$109,2))&gt;$A117,0,INDEX('T&amp;D Capacity'!$M$4:$S$23,MATCH($A117,'T&amp;D Capacity'!$B$4:$B$23,FALSE),MATCH(EDC_NAME,'T&amp;D Capacity'!$M$3:$S$3,FALSE))),0)</f>
        <v>62.194589674472809</v>
      </c>
      <c r="N117" s="15">
        <f>IFERROR(IF(VALUE(RIGHT($B$109,2))&gt;$A117,0,INDEX('T&amp;D Capacity'!$M$28:$S$47,MATCH($A117,'T&amp;D Capacity'!$B$28:$B$47,FALSE),MATCH(EDC_NAME,'T&amp;D Capacity'!$M$27:$S$27,FALSE))),0)</f>
        <v>9.0186463743448257</v>
      </c>
      <c r="O117" s="16">
        <f>IFERROR(IF(VALUE(RIGHT($B$109,2))&gt;$A117,0,IFERROR(AVERAGEIF('NG Futures'!$E:$E,$B117,'NG Futures'!$I:$I),"Data Missing")),0)</f>
        <v>3.3679469428694606</v>
      </c>
      <c r="P117" s="320" t="s">
        <v>128</v>
      </c>
    </row>
    <row r="118" spans="1:16" s="50" customFormat="1" ht="15" customHeight="1" x14ac:dyDescent="0.2">
      <c r="A118" s="124">
        <f t="shared" ref="A118:B118" si="59">A117+1</f>
        <v>23</v>
      </c>
      <c r="B118" s="124">
        <f t="shared" si="59"/>
        <v>2032</v>
      </c>
      <c r="C118" s="121">
        <f ca="1">IFERROR(IF(VALUE(RIGHT($B$109,2))&gt;$A118,0,AVERAGEIFS(Elec_On_Peak, 'Avoided AC'!$D:$D, $B118, 'Avoided AC'!$E:$E, "Summer") +
        INDEX(AEPS!$S$8:$S$37, MATCH($A118, 'General Inputs'!$F$3:$F$32, 0)) +
        OFFSET(DRIPE!$I$10, MATCH('Output (non-LI)'!$B118, DRIPE!$I$11:$I$30, 0), MATCH('Output (non-LI)'!$B$109, DRIPE!$J$10:$N$10, 0), 1, 1)),"Data Missing")</f>
        <v>101.26898729521784</v>
      </c>
      <c r="D118" s="15">
        <f ca="1">IFERROR(IF(VALUE(RIGHT($B$109,2))&gt;$A118,0,AVERAGEIFS(Elec_Off_Peak, 'Avoided AC'!$D:$D, $B118, 'Avoided AC'!$E:$E, "Summer") +
        INDEX(AEPS!$S$8:$S$37, MATCH($A118, 'General Inputs'!$F$3:$F$32, 0)) +
        OFFSET(DRIPE!$I$10, MATCH('Output (non-LI)'!$B118, DRIPE!$I$11:$I$30, 0), MATCH('Output (non-LI)'!$B$109, DRIPE!$J$10:$N$10, 0), 1, 1)),"Data Missing")</f>
        <v>71.364724476380886</v>
      </c>
      <c r="E118" s="15">
        <f ca="1">IFERROR(IF(VALUE(RIGHT($B$109,2))&gt;$A118,0,AVERAGEIFS(Elec_On_Peak, 'Avoided AC'!$D:$D, $B118, 'Avoided AC'!$E:$E, "Winter") +
        INDEX(AEPS!$S$8:$S$37, MATCH($A118, 'General Inputs'!$F$3:$F$32, 0)) +
        OFFSET(DRIPE!$I$10, MATCH('Output (non-LI)'!$B118, DRIPE!$I$11:$I$30, 0), MATCH('Output (non-LI)'!$B$109, DRIPE!$J$10:$N$10, 0), 1, 1)),"Data Missing")</f>
        <v>111.13209326561338</v>
      </c>
      <c r="F118" s="15">
        <f ca="1">IFERROR(IF(VALUE(RIGHT($B$109,2))&gt;$A118,0,AVERAGEIFS(Elec_Off_Peak, 'Avoided AC'!$D:$D, $B118, 'Avoided AC'!$E:$E, "Winter") +
        INDEX(AEPS!$S$8:$S$37, MATCH($A118, 'General Inputs'!$F$3:$F$32, 0)) +
        OFFSET(DRIPE!$I$10, MATCH('Output (non-LI)'!$B118, DRIPE!$I$11:$I$30, 0), MATCH('Output (non-LI)'!$B$109, DRIPE!$J$10:$N$10, 0), 1, 1)),"Data Missing")</f>
        <v>98.273560431640902</v>
      </c>
      <c r="G118" s="15">
        <f ca="1">IFERROR(IF(VALUE(RIGHT($B$109,2))&gt;$A118,0,AVERAGEIFS(Elec_On_Peak, 'Avoided AC'!$D:$D, $B118, 'Avoided AC'!$E:$E, "Shoulder") +
        INDEX(AEPS!$S$8:$S$37, MATCH($A118, 'General Inputs'!$F$3:$F$32, 0)) +
        OFFSET(DRIPE!$I$10, MATCH('Output (non-LI)'!$B118, DRIPE!$I$11:$I$30, 0), MATCH('Output (non-LI)'!$B$109, DRIPE!$J$10:$N$10, 0), 1, 1)),"Data Missing")</f>
        <v>87.901305605162548</v>
      </c>
      <c r="H118" s="15">
        <f ca="1">IFERROR(IF(VALUE(RIGHT($B$109,2))&gt;$A118,0,AVERAGEIFS(Elec_Off_Peak, 'Avoided AC'!$D:$D, $B118, 'Avoided AC'!$E:$E, "Shoulder") +
        INDEX(AEPS!$S$8:$S$37, MATCH($A118, 'General Inputs'!$F$3:$F$32, 0)) +
        OFFSET(DRIPE!$I$10, MATCH('Output (non-LI)'!$B118, DRIPE!$I$11:$I$30, 0), MATCH('Output (non-LI)'!$B$109, DRIPE!$J$10:$N$10, 0), 1, 1)),"Data Missing")</f>
        <v>75.152760277152538</v>
      </c>
      <c r="I118" s="15">
        <f ca="1">(IF(VALUE(RIGHT($B$109,2))&gt;$A118,0,INDEX('Generation Capacity'!$E$27:$K$48,MATCH($A118,'Generation Capacity'!$B$27:$B$48,FALSE),MATCH(EDC_NAME,'Generation Capacity'!$E$26:$K$26,FALSE))+
        OFFSET(DRIPE!$B$35,MATCH('Output (non-LI)'!$B118,DRIPE!$B$11:$B$30,0),MATCH('Output (non-LI)'!$B$109,DRIPE!$C$10:$G$10,0),1,1)))</f>
        <v>42.034799660168403</v>
      </c>
      <c r="J118" s="15">
        <f ca="1">(IF(VALUE(RIGHT($B$109,2))&gt;$A118,0,INDEX('Generation Capacity'!$E$27:$K$48,MATCH($A118,'Generation Capacity'!$B$27:$B$48,FALSE),MATCH(EDC_NAME,'Generation Capacity'!$E$26:$K$26,FALSE))+
        OFFSET(DRIPE!$I$35,MATCH('Output (non-LI)'!$B118,DRIPE!$B$11:$B$30,0),MATCH('Output (non-LI)'!$B$109,DRIPE!$C$10:$G$10,0),1,1)))</f>
        <v>42.034799660168403</v>
      </c>
      <c r="K118" s="15">
        <f ca="1">IFERROR(IF(VALUE(RIGHT($B$109,2))&gt;$A118,0,INDEX('T&amp;D Capacity'!$E$4:$K$23,MATCH($A118,'T&amp;D Capacity'!$B$4:$B$23,FALSE),MATCH(EDC_NAME,'T&amp;D Capacity'!$E$3:$K$3,FALSE))),0)</f>
        <v>9.7820268534975199</v>
      </c>
      <c r="L118" s="15">
        <f ca="1">IFERROR(IF(VALUE(RIGHT($B$109,2))&gt;$A118,0,INDEX('T&amp;D Capacity'!$E$28:$K$47,MATCH($A118,'T&amp;D Capacity'!$B$28:$B$47,FALSE),MATCH(EDC_NAME,'T&amp;D Capacity'!$E$27:$K$27,FALSE))),0)</f>
        <v>9.7820268534975199</v>
      </c>
      <c r="M118" s="15">
        <f ca="1">IFERROR(IF(VALUE(RIGHT($B$109,2))&gt;$A118,0,INDEX('T&amp;D Capacity'!$M$4:$S$23,MATCH($A118,'T&amp;D Capacity'!$B$4:$B$23,FALSE),MATCH(EDC_NAME,'T&amp;D Capacity'!$M$3:$S$3,FALSE))),0)</f>
        <v>63.482977572781131</v>
      </c>
      <c r="N118" s="15">
        <f ca="1">IFERROR(IF(VALUE(RIGHT($B$109,2))&gt;$A118,0,INDEX('T&amp;D Capacity'!$M$28:$S$47,MATCH($A118,'T&amp;D Capacity'!$B$28:$B$47,FALSE),MATCH(EDC_NAME,'T&amp;D Capacity'!$M$27:$S$27,FALSE))),0)</f>
        <v>9.2054715452904787</v>
      </c>
      <c r="O118" s="16">
        <f>IFERROR(IF(VALUE(RIGHT($B$109,2))&gt;$A118,0,IFERROR(AVERAGEIF('NG Futures'!$E:$E,$B118,'NG Futures'!$I:$I),"Data Missing")),0)</f>
        <v>3.4331546501092309</v>
      </c>
      <c r="P118" s="321"/>
    </row>
    <row r="119" spans="1:16" s="50" customFormat="1" ht="15" customHeight="1" x14ac:dyDescent="0.2">
      <c r="A119" s="124">
        <f t="shared" ref="A119:B119" si="60">A118+1</f>
        <v>24</v>
      </c>
      <c r="B119" s="124">
        <f t="shared" si="60"/>
        <v>2033</v>
      </c>
      <c r="C119" s="121">
        <f ca="1">IFERROR(IF(VALUE(RIGHT($B$109,2))&gt;$A119,0,AVERAGEIFS(Elec_On_Peak, 'Avoided AC'!$D:$D, $B119, 'Avoided AC'!$E:$E, "Summer") +
        INDEX(AEPS!$S$8:$S$37, MATCH($A119, 'General Inputs'!$F$3:$F$32, 0)) +
        OFFSET(DRIPE!$I$10, MATCH('Output (non-LI)'!$B119, DRIPE!$I$11:$I$30, 0), MATCH('Output (non-LI)'!$B$109, DRIPE!$J$10:$N$10, 0), 1, 1)),"Data Missing")</f>
        <v>111.56337801511182</v>
      </c>
      <c r="D119" s="15">
        <f ca="1">IFERROR(IF(VALUE(RIGHT($B$109,2))&gt;$A119,0,AVERAGEIFS(Elec_Off_Peak, 'Avoided AC'!$D:$D, $B119, 'Avoided AC'!$E:$E, "Summer") +
        INDEX(AEPS!$S$8:$S$37, MATCH($A119, 'General Inputs'!$F$3:$F$32, 0)) +
        OFFSET(DRIPE!$I$10, MATCH('Output (non-LI)'!$B119, DRIPE!$I$11:$I$30, 0), MATCH('Output (non-LI)'!$B$109, DRIPE!$J$10:$N$10, 0), 1, 1)),"Data Missing")</f>
        <v>80.964107122545329</v>
      </c>
      <c r="E119" s="15">
        <f ca="1">IFERROR(IF(VALUE(RIGHT($B$109,2))&gt;$A119,0,AVERAGEIFS(Elec_On_Peak, 'Avoided AC'!$D:$D, $B119, 'Avoided AC'!$E:$E, "Winter") +
        INDEX(AEPS!$S$8:$S$37, MATCH($A119, 'General Inputs'!$F$3:$F$32, 0)) +
        OFFSET(DRIPE!$I$10, MATCH('Output (non-LI)'!$B119, DRIPE!$I$11:$I$30, 0), MATCH('Output (non-LI)'!$B$109, DRIPE!$J$10:$N$10, 0), 1, 1)),"Data Missing")</f>
        <v>123.38909545670829</v>
      </c>
      <c r="F119" s="15">
        <f ca="1">IFERROR(IF(VALUE(RIGHT($B$109,2))&gt;$A119,0,AVERAGEIFS(Elec_Off_Peak, 'Avoided AC'!$D:$D, $B119, 'Avoided AC'!$E:$E, "Winter") +
        INDEX(AEPS!$S$8:$S$37, MATCH($A119, 'General Inputs'!$F$3:$F$32, 0)) +
        OFFSET(DRIPE!$I$10, MATCH('Output (non-LI)'!$B119, DRIPE!$I$11:$I$30, 0), MATCH('Output (non-LI)'!$B$109, DRIPE!$J$10:$N$10, 0), 1, 1)),"Data Missing")</f>
        <v>109.2245293638654</v>
      </c>
      <c r="G119" s="15">
        <f ca="1">IFERROR(IF(VALUE(RIGHT($B$109,2))&gt;$A119,0,AVERAGEIFS(Elec_On_Peak, 'Avoided AC'!$D:$D, $B119, 'Avoided AC'!$E:$E, "Shoulder") +
        INDEX(AEPS!$S$8:$S$37, MATCH($A119, 'General Inputs'!$F$3:$F$32, 0)) +
        OFFSET(DRIPE!$I$10, MATCH('Output (non-LI)'!$B119, DRIPE!$I$11:$I$30, 0), MATCH('Output (non-LI)'!$B$109, DRIPE!$J$10:$N$10, 0), 1, 1)),"Data Missing")</f>
        <v>98.223530750927452</v>
      </c>
      <c r="H119" s="15">
        <f ca="1">IFERROR(IF(VALUE(RIGHT($B$109,2))&gt;$A119,0,AVERAGEIFS(Elec_Off_Peak, 'Avoided AC'!$D:$D, $B119, 'Avoided AC'!$E:$E, "Shoulder") +
        INDEX(AEPS!$S$8:$S$37, MATCH($A119, 'General Inputs'!$F$3:$F$32, 0)) +
        OFFSET(DRIPE!$I$10, MATCH('Output (non-LI)'!$B119, DRIPE!$I$11:$I$30, 0), MATCH('Output (non-LI)'!$B$109, DRIPE!$J$10:$N$10, 0), 1, 1)),"Data Missing")</f>
        <v>84.771311581423561</v>
      </c>
      <c r="I119" s="15">
        <f ca="1">(IF(VALUE(RIGHT($B$109,2))&gt;$A119,0,INDEX('Generation Capacity'!$E$27:$K$48,MATCH($A119,'Generation Capacity'!$B$27:$B$48,FALSE),MATCH(EDC_NAME,'Generation Capacity'!$E$26:$K$26,FALSE))+
        OFFSET(DRIPE!$B$35,MATCH('Output (non-LI)'!$B119,DRIPE!$B$11:$B$30,0),MATCH('Output (non-LI)'!$B$109,DRIPE!$C$10:$G$10,0),1,1)))</f>
        <v>42.89928147161887</v>
      </c>
      <c r="J119" s="15">
        <f ca="1">(IF(VALUE(RIGHT($B$109,2))&gt;$A119,0,INDEX('Generation Capacity'!$E$27:$K$48,MATCH($A119,'Generation Capacity'!$B$27:$B$48,FALSE),MATCH(EDC_NAME,'Generation Capacity'!$E$26:$K$26,FALSE))+
        OFFSET(DRIPE!$I$35,MATCH('Output (non-LI)'!$B119,DRIPE!$B$11:$B$30,0),MATCH('Output (non-LI)'!$B$109,DRIPE!$C$10:$G$10,0),1,1)))</f>
        <v>42.89928147161887</v>
      </c>
      <c r="K119" s="15">
        <f ca="1">IFERROR(IF(VALUE(RIGHT($B$109,2))&gt;$A119,0,INDEX('T&amp;D Capacity'!$E$4:$K$23,MATCH($A119,'T&amp;D Capacity'!$B$4:$B$23,FALSE),MATCH(EDC_NAME,'T&amp;D Capacity'!$E$3:$K$3,FALSE))),0)</f>
        <v>9.9846657821396683</v>
      </c>
      <c r="L119" s="15">
        <f ca="1">IFERROR(IF(VALUE(RIGHT($B$109,2))&gt;$A119,0,INDEX('T&amp;D Capacity'!$E$28:$K$47,MATCH($A119,'T&amp;D Capacity'!$B$28:$B$47,FALSE),MATCH(EDC_NAME,'T&amp;D Capacity'!$E$27:$K$27,FALSE))),0)</f>
        <v>9.9846657821396683</v>
      </c>
      <c r="M119" s="15">
        <f ca="1">IFERROR(IF(VALUE(RIGHT($B$109,2))&gt;$A119,0,INDEX('T&amp;D Capacity'!$M$4:$S$23,MATCH($A119,'T&amp;D Capacity'!$B$4:$B$23,FALSE),MATCH(EDC_NAME,'T&amp;D Capacity'!$M$3:$S$3,FALSE))),0)</f>
        <v>64.798054985164484</v>
      </c>
      <c r="N119" s="15">
        <f ca="1">IFERROR(IF(VALUE(RIGHT($B$109,2))&gt;$A119,0,INDEX('T&amp;D Capacity'!$M$28:$S$47,MATCH($A119,'T&amp;D Capacity'!$B$28:$B$47,FALSE),MATCH(EDC_NAME,'T&amp;D Capacity'!$M$27:$S$27,FALSE))),0)</f>
        <v>9.396166880676569</v>
      </c>
      <c r="O119" s="16">
        <f>IFERROR(IF(VALUE(RIGHT($B$109,2))&gt;$A119,0,IFERROR(AVERAGEIF('NG Futures'!$E:$E,$B119,'NG Futures'!$I:$I),"Data Missing")),0)</f>
        <v>3.6808695479745581</v>
      </c>
      <c r="P119" s="321"/>
    </row>
    <row r="120" spans="1:16" s="50" customFormat="1" ht="15" customHeight="1" x14ac:dyDescent="0.2">
      <c r="A120" s="124">
        <f t="shared" ref="A120:B120" si="61">A119+1</f>
        <v>25</v>
      </c>
      <c r="B120" s="124">
        <f t="shared" si="61"/>
        <v>2034</v>
      </c>
      <c r="C120" s="121">
        <f ca="1">IFERROR(IF(VALUE(RIGHT($B$109,2))&gt;$A120,0,AVERAGEIFS(Elec_On_Peak, 'Avoided AC'!$D:$D, $B120, 'Avoided AC'!$E:$E, "Summer") +
        INDEX(AEPS!$S$8:$S$37, MATCH($A120, 'General Inputs'!$F$3:$F$32, 0)) +
        OFFSET(DRIPE!$I$10, MATCH('Output (non-LI)'!$B120, DRIPE!$I$11:$I$30, 0), MATCH('Output (non-LI)'!$B$109, DRIPE!$J$10:$N$10, 0), 1, 1)),"Data Missing")</f>
        <v>112.50252965970276</v>
      </c>
      <c r="D120" s="15">
        <f ca="1">IFERROR(IF(VALUE(RIGHT($B$109,2))&gt;$A120,0,AVERAGEIFS(Elec_Off_Peak, 'Avoided AC'!$D:$D, $B120, 'Avoided AC'!$E:$E, "Summer") +
        INDEX(AEPS!$S$8:$S$37, MATCH($A120, 'General Inputs'!$F$3:$F$32, 0)) +
        OFFSET(DRIPE!$I$10, MATCH('Output (non-LI)'!$B120, DRIPE!$I$11:$I$30, 0), MATCH('Output (non-LI)'!$B$109, DRIPE!$J$10:$N$10, 0), 1, 1)),"Data Missing")</f>
        <v>81.052048713186267</v>
      </c>
      <c r="E120" s="15">
        <f ca="1">IFERROR(IF(VALUE(RIGHT($B$109,2))&gt;$A120,0,AVERAGEIFS(Elec_On_Peak, 'Avoided AC'!$D:$D, $B120, 'Avoided AC'!$E:$E, "Winter") +
        INDEX(AEPS!$S$8:$S$37, MATCH($A120, 'General Inputs'!$F$3:$F$32, 0)) +
        OFFSET(DRIPE!$I$10, MATCH('Output (non-LI)'!$B120, DRIPE!$I$11:$I$30, 0), MATCH('Output (non-LI)'!$B$109, DRIPE!$J$10:$N$10, 0), 1, 1)),"Data Missing")</f>
        <v>126.83119492477053</v>
      </c>
      <c r="F120" s="15">
        <f ca="1">IFERROR(IF(VALUE(RIGHT($B$109,2))&gt;$A120,0,AVERAGEIFS(Elec_Off_Peak, 'Avoided AC'!$D:$D, $B120, 'Avoided AC'!$E:$E, "Winter") +
        INDEX(AEPS!$S$8:$S$37, MATCH($A120, 'General Inputs'!$F$3:$F$32, 0)) +
        OFFSET(DRIPE!$I$10, MATCH('Output (non-LI)'!$B120, DRIPE!$I$11:$I$30, 0), MATCH('Output (non-LI)'!$B$109, DRIPE!$J$10:$N$10, 0), 1, 1)),"Data Missing")</f>
        <v>111.03616920174913</v>
      </c>
      <c r="G120" s="15">
        <f ca="1">IFERROR(IF(VALUE(RIGHT($B$109,2))&gt;$A120,0,AVERAGEIFS(Elec_On_Peak, 'Avoided AC'!$D:$D, $B120, 'Avoided AC'!$E:$E, "Shoulder") +
        INDEX(AEPS!$S$8:$S$37, MATCH($A120, 'General Inputs'!$F$3:$F$32, 0)) +
        OFFSET(DRIPE!$I$10, MATCH('Output (non-LI)'!$B120, DRIPE!$I$11:$I$30, 0), MATCH('Output (non-LI)'!$B$109, DRIPE!$J$10:$N$10, 0), 1, 1)),"Data Missing")</f>
        <v>99.486633394468271</v>
      </c>
      <c r="H120" s="15">
        <f ca="1">IFERROR(IF(VALUE(RIGHT($B$109,2))&gt;$A120,0,AVERAGEIFS(Elec_Off_Peak, 'Avoided AC'!$D:$D, $B120, 'Avoided AC'!$E:$E, "Shoulder") +
        INDEX(AEPS!$S$8:$S$37, MATCH($A120, 'General Inputs'!$F$3:$F$32, 0)) +
        OFFSET(DRIPE!$I$10, MATCH('Output (non-LI)'!$B120, DRIPE!$I$11:$I$30, 0), MATCH('Output (non-LI)'!$B$109, DRIPE!$J$10:$N$10, 0), 1, 1)),"Data Missing")</f>
        <v>85.082347622474586</v>
      </c>
      <c r="I120" s="15">
        <f ca="1">(IF(VALUE(RIGHT($B$109,2))&gt;$A120,0,INDEX('Generation Capacity'!$E$27:$K$48,MATCH($A120,'Generation Capacity'!$B$27:$B$48,FALSE),MATCH(EDC_NAME,'Generation Capacity'!$E$26:$K$26,FALSE))+
        OFFSET(DRIPE!$B$35,MATCH('Output (non-LI)'!$B120,DRIPE!$B$11:$B$30,0),MATCH('Output (non-LI)'!$B$109,DRIPE!$C$10:$G$10,0),1,1)))</f>
        <v>43.775871077277742</v>
      </c>
      <c r="J120" s="15">
        <f ca="1">(IF(VALUE(RIGHT($B$109,2))&gt;$A120,0,INDEX('Generation Capacity'!$E$27:$K$48,MATCH($A120,'Generation Capacity'!$B$27:$B$48,FALSE),MATCH(EDC_NAME,'Generation Capacity'!$E$26:$K$26,FALSE))+
        OFFSET(DRIPE!$I$35,MATCH('Output (non-LI)'!$B120,DRIPE!$B$11:$B$30,0),MATCH('Output (non-LI)'!$B$109,DRIPE!$C$10:$G$10,0),1,1)))</f>
        <v>43.775871077277742</v>
      </c>
      <c r="K120" s="15">
        <f ca="1">IFERROR(IF(VALUE(RIGHT($B$109,2))&gt;$A120,0,INDEX('T&amp;D Capacity'!$E$4:$K$23,MATCH($A120,'T&amp;D Capacity'!$B$4:$B$23,FALSE),MATCH(EDC_NAME,'T&amp;D Capacity'!$E$3:$K$3,FALSE))),0)</f>
        <v>10.191502464071213</v>
      </c>
      <c r="L120" s="15">
        <f ca="1">IFERROR(IF(VALUE(RIGHT($B$109,2))&gt;$A120,0,INDEX('T&amp;D Capacity'!$E$28:$K$47,MATCH($A120,'T&amp;D Capacity'!$B$28:$B$47,FALSE),MATCH(EDC_NAME,'T&amp;D Capacity'!$E$27:$K$27,FALSE))),0)</f>
        <v>10.191502464071213</v>
      </c>
      <c r="M120" s="15">
        <f ca="1">IFERROR(IF(VALUE(RIGHT($B$109,2))&gt;$A120,0,INDEX('T&amp;D Capacity'!$M$4:$S$23,MATCH($A120,'T&amp;D Capacity'!$B$4:$B$23,FALSE),MATCH(EDC_NAME,'T&amp;D Capacity'!$M$3:$S$3,FALSE))),0)</f>
        <v>66.140374796481908</v>
      </c>
      <c r="N120" s="15">
        <f ca="1">IFERROR(IF(VALUE(RIGHT($B$109,2))&gt;$A120,0,INDEX('T&amp;D Capacity'!$M$28:$S$47,MATCH($A120,'T&amp;D Capacity'!$B$28:$B$47,FALSE),MATCH(EDC_NAME,'T&amp;D Capacity'!$M$27:$S$27,FALSE))),0)</f>
        <v>9.5908125526379333</v>
      </c>
      <c r="O120" s="16">
        <f>IFERROR(IF(VALUE(RIGHT($B$109,2))&gt;$A120,0,IFERROR(AVERAGEIF('NG Futures'!$E:$E,$B120,'NG Futures'!$I:$I),"Data Missing")),0)</f>
        <v>3.9952671302460749</v>
      </c>
      <c r="P120" s="321"/>
    </row>
    <row r="121" spans="1:16" s="50" customFormat="1" ht="15" customHeight="1" x14ac:dyDescent="0.2">
      <c r="A121" s="124">
        <f t="shared" ref="A121:B121" si="62">A120+1</f>
        <v>26</v>
      </c>
      <c r="B121" s="124">
        <f t="shared" si="62"/>
        <v>2035</v>
      </c>
      <c r="C121" s="121">
        <f ca="1">IFERROR(IF(VALUE(RIGHT($B$109,2))&gt;$A121,0,AVERAGEIFS(Elec_On_Peak, 'Avoided AC'!$D:$D, $B121, 'Avoided AC'!$E:$E, "Summer") +
        INDEX(AEPS!$S$8:$S$37, MATCH($A121, 'General Inputs'!$F$3:$F$32, 0)) +
        OFFSET(DRIPE!$I$10, MATCH('Output (non-LI)'!$B121, DRIPE!$I$11:$I$30, 0), MATCH('Output (non-LI)'!$B$109, DRIPE!$J$10:$N$10, 0), 1, 1)),"Data Missing")</f>
        <v>81.931582500549922</v>
      </c>
      <c r="D121" s="15">
        <f ca="1">IFERROR(IF(VALUE(RIGHT($B$109,2))&gt;$A121,0,AVERAGEIFS(Elec_Off_Peak, 'Avoided AC'!$D:$D, $B121, 'Avoided AC'!$E:$E, "Summer") +
        INDEX(AEPS!$S$8:$S$37, MATCH($A121, 'General Inputs'!$F$3:$F$32, 0)) +
        OFFSET(DRIPE!$I$10, MATCH('Output (non-LI)'!$B121, DRIPE!$I$11:$I$30, 0), MATCH('Output (non-LI)'!$B$109, DRIPE!$J$10:$N$10, 0), 1, 1)),"Data Missing")</f>
        <v>49.662021082051282</v>
      </c>
      <c r="E121" s="15">
        <f ca="1">IFERROR(IF(VALUE(RIGHT($B$109,2))&gt;$A121,0,AVERAGEIFS(Elec_On_Peak, 'Avoided AC'!$D:$D, $B121, 'Avoided AC'!$E:$E, "Winter") +
        INDEX(AEPS!$S$8:$S$37, MATCH($A121, 'General Inputs'!$F$3:$F$32, 0)) +
        OFFSET(DRIPE!$I$10, MATCH('Output (non-LI)'!$B121, DRIPE!$I$11:$I$30, 0), MATCH('Output (non-LI)'!$B$109, DRIPE!$J$10:$N$10, 0), 1, 1)),"Data Missing")</f>
        <v>98.520653422665092</v>
      </c>
      <c r="F121" s="15">
        <f ca="1">IFERROR(IF(VALUE(RIGHT($B$109,2))&gt;$A121,0,AVERAGEIFS(Elec_Off_Peak, 'Avoided AC'!$D:$D, $B121, 'Avoided AC'!$E:$E, "Winter") +
        INDEX(AEPS!$S$8:$S$37, MATCH($A121, 'General Inputs'!$F$3:$F$32, 0)) +
        OFFSET(DRIPE!$I$10, MATCH('Output (non-LI)'!$B121, DRIPE!$I$11:$I$30, 0), MATCH('Output (non-LI)'!$B$109, DRIPE!$J$10:$N$10, 0), 1, 1)),"Data Missing")</f>
        <v>81.202808965984232</v>
      </c>
      <c r="G121" s="15">
        <f ca="1">IFERROR(IF(VALUE(RIGHT($B$109,2))&gt;$A121,0,AVERAGEIFS(Elec_On_Peak, 'Avoided AC'!$D:$D, $B121, 'Avoided AC'!$E:$E, "Shoulder") +
        INDEX(AEPS!$S$8:$S$37, MATCH($A121, 'General Inputs'!$F$3:$F$32, 0)) +
        OFFSET(DRIPE!$I$10, MATCH('Output (non-LI)'!$B121, DRIPE!$I$11:$I$30, 0), MATCH('Output (non-LI)'!$B$109, DRIPE!$J$10:$N$10, 0), 1, 1)),"Data Missing")</f>
        <v>69.337733057302913</v>
      </c>
      <c r="H121" s="15">
        <f ca="1">IFERROR(IF(VALUE(RIGHT($B$109,2))&gt;$A121,0,AVERAGEIFS(Elec_Off_Peak, 'Avoided AC'!$D:$D, $B121, 'Avoided AC'!$E:$E, "Shoulder") +
        INDEX(AEPS!$S$8:$S$37, MATCH($A121, 'General Inputs'!$F$3:$F$32, 0)) +
        OFFSET(DRIPE!$I$10, MATCH('Output (non-LI)'!$B121, DRIPE!$I$11:$I$30, 0), MATCH('Output (non-LI)'!$B$109, DRIPE!$J$10:$N$10, 0), 1, 1)),"Data Missing")</f>
        <v>53.982969824505226</v>
      </c>
      <c r="I121" s="15">
        <f ca="1">(IF(VALUE(RIGHT($B$109,2))&gt;$A121,0,INDEX('Generation Capacity'!$E$27:$K$48,MATCH($A121,'Generation Capacity'!$B$27:$B$48,FALSE),MATCH(EDC_NAME,'Generation Capacity'!$E$26:$K$26,FALSE))+
        OFFSET(DRIPE!$B$35,MATCH('Output (non-LI)'!$B121,DRIPE!$B$11:$B$30,0),MATCH('Output (non-LI)'!$B$109,DRIPE!$C$10:$G$10,0),1,1)))</f>
        <v>30.004819295353062</v>
      </c>
      <c r="J121" s="15">
        <f ca="1">(IF(VALUE(RIGHT($B$109,2))&gt;$A121,0,INDEX('Generation Capacity'!$E$27:$K$48,MATCH($A121,'Generation Capacity'!$B$27:$B$48,FALSE),MATCH(EDC_NAME,'Generation Capacity'!$E$26:$K$26,FALSE))+
        OFFSET(DRIPE!$I$35,MATCH('Output (non-LI)'!$B121,DRIPE!$B$11:$B$30,0),MATCH('Output (non-LI)'!$B$109,DRIPE!$C$10:$G$10,0),1,1)))</f>
        <v>30.004819295353062</v>
      </c>
      <c r="K121" s="15">
        <f ca="1">IFERROR(IF(VALUE(RIGHT($B$109,2))&gt;$A121,0,INDEX('T&amp;D Capacity'!$E$4:$K$23,MATCH($A121,'T&amp;D Capacity'!$B$4:$B$23,FALSE),MATCH(EDC_NAME,'T&amp;D Capacity'!$E$3:$K$3,FALSE))),0)</f>
        <v>10.402623857572072</v>
      </c>
      <c r="L121" s="15">
        <f ca="1">IFERROR(IF(VALUE(RIGHT($B$109,2))&gt;$A121,0,INDEX('T&amp;D Capacity'!$E$28:$K$47,MATCH($A121,'T&amp;D Capacity'!$B$28:$B$47,FALSE),MATCH(EDC_NAME,'T&amp;D Capacity'!$E$27:$K$27,FALSE))),0)</f>
        <v>10.402623857572072</v>
      </c>
      <c r="M121" s="15">
        <f ca="1">IFERROR(IF(VALUE(RIGHT($B$109,2))&gt;$A121,0,INDEX('T&amp;D Capacity'!$M$4:$S$23,MATCH($A121,'T&amp;D Capacity'!$B$4:$B$23,FALSE),MATCH(EDC_NAME,'T&amp;D Capacity'!$M$3:$S$3,FALSE))),0)</f>
        <v>67.510501344842098</v>
      </c>
      <c r="N121" s="15">
        <f ca="1">IFERROR(IF(VALUE(RIGHT($B$109,2))&gt;$A121,0,INDEX('T&amp;D Capacity'!$M$28:$S$47,MATCH($A121,'T&amp;D Capacity'!$B$28:$B$47,FALSE),MATCH(EDC_NAME,'T&amp;D Capacity'!$M$27:$S$27,FALSE))),0)</f>
        <v>9.7894903941099525</v>
      </c>
      <c r="O121" s="16">
        <f>IFERROR(IF(VALUE(RIGHT($B$109,2))&gt;$A121,0,IFERROR(AVERAGEIF('NG Futures'!$E:$E,$B121,'NG Futures'!$I:$I),"Data Missing")),0)</f>
        <v>4.297775585014695</v>
      </c>
      <c r="P121" s="321"/>
    </row>
    <row r="122" spans="1:16" s="50" customFormat="1" ht="15" customHeight="1" x14ac:dyDescent="0.2">
      <c r="A122" s="124">
        <f t="shared" ref="A122:B122" si="63">A121+1</f>
        <v>27</v>
      </c>
      <c r="B122" s="124">
        <f t="shared" si="63"/>
        <v>2036</v>
      </c>
      <c r="C122" s="121">
        <f ca="1">IFERROR(IF(VALUE(RIGHT($B$109,2))&gt;$A122,0,AVERAGEIFS(Elec_On_Peak, 'Avoided AC'!$D:$D, $B122, 'Avoided AC'!$E:$E, "Summer") +
        INDEX(AEPS!$S$8:$S$37, MATCH($A122, 'General Inputs'!$F$3:$F$32, 0)) +
        OFFSET(DRIPE!$I$10, MATCH('Output (non-LI)'!$B122, DRIPE!$I$11:$I$30, 0), MATCH('Output (non-LI)'!$B$109, DRIPE!$J$10:$N$10, 0), 1, 1)),"Data Missing")</f>
        <v>84.516854392089215</v>
      </c>
      <c r="D122" s="15">
        <f ca="1">IFERROR(IF(VALUE(RIGHT($B$109,2))&gt;$A122,0,AVERAGEIFS(Elec_Off_Peak, 'Avoided AC'!$D:$D, $B122, 'Avoided AC'!$E:$E, "Summer") +
        INDEX(AEPS!$S$8:$S$37, MATCH($A122, 'General Inputs'!$F$3:$F$32, 0)) +
        OFFSET(DRIPE!$I$10, MATCH('Output (non-LI)'!$B122, DRIPE!$I$11:$I$30, 0), MATCH('Output (non-LI)'!$B$109, DRIPE!$J$10:$N$10, 0), 1, 1)),"Data Missing")</f>
        <v>51.492641039859841</v>
      </c>
      <c r="E122" s="15">
        <f ca="1">IFERROR(IF(VALUE(RIGHT($B$109,2))&gt;$A122,0,AVERAGEIFS(Elec_On_Peak, 'Avoided AC'!$D:$D, $B122, 'Avoided AC'!$E:$E, "Winter") +
        INDEX(AEPS!$S$8:$S$37, MATCH($A122, 'General Inputs'!$F$3:$F$32, 0)) +
        OFFSET(DRIPE!$I$10, MATCH('Output (non-LI)'!$B122, DRIPE!$I$11:$I$30, 0), MATCH('Output (non-LI)'!$B$109, DRIPE!$J$10:$N$10, 0), 1, 1)),"Data Missing")</f>
        <v>103.08041583716579</v>
      </c>
      <c r="F122" s="15">
        <f ca="1">IFERROR(IF(VALUE(RIGHT($B$109,2))&gt;$A122,0,AVERAGEIFS(Elec_Off_Peak, 'Avoided AC'!$D:$D, $B122, 'Avoided AC'!$E:$E, "Winter") +
        INDEX(AEPS!$S$8:$S$37, MATCH($A122, 'General Inputs'!$F$3:$F$32, 0)) +
        OFFSET(DRIPE!$I$10, MATCH('Output (non-LI)'!$B122, DRIPE!$I$11:$I$30, 0), MATCH('Output (non-LI)'!$B$109, DRIPE!$J$10:$N$10, 0), 1, 1)),"Data Missing")</f>
        <v>84.393195924011735</v>
      </c>
      <c r="G122" s="15">
        <f ca="1">IFERROR(IF(VALUE(RIGHT($B$109,2))&gt;$A122,0,AVERAGEIFS(Elec_On_Peak, 'Avoided AC'!$D:$D, $B122, 'Avoided AC'!$E:$E, "Shoulder") +
        INDEX(AEPS!$S$8:$S$37, MATCH($A122, 'General Inputs'!$F$3:$F$32, 0)) +
        OFFSET(DRIPE!$I$10, MATCH('Output (non-LI)'!$B122, DRIPE!$I$11:$I$30, 0), MATCH('Output (non-LI)'!$B$109, DRIPE!$J$10:$N$10, 0), 1, 1)),"Data Missing")</f>
        <v>72.077429177743937</v>
      </c>
      <c r="H122" s="15">
        <f ca="1">IFERROR(IF(VALUE(RIGHT($B$109,2))&gt;$A122,0,AVERAGEIFS(Elec_Off_Peak, 'Avoided AC'!$D:$D, $B122, 'Avoided AC'!$E:$E, "Shoulder") +
        INDEX(AEPS!$S$8:$S$37, MATCH($A122, 'General Inputs'!$F$3:$F$32, 0)) +
        OFFSET(DRIPE!$I$10, MATCH('Output (non-LI)'!$B122, DRIPE!$I$11:$I$30, 0), MATCH('Output (non-LI)'!$B$109, DRIPE!$J$10:$N$10, 0), 1, 1)),"Data Missing")</f>
        <v>55.919936694619999</v>
      </c>
      <c r="I122" s="15">
        <f ca="1">(IF(VALUE(RIGHT($B$109,2))&gt;$A122,0,INDEX('Generation Capacity'!$E$27:$K$48,MATCH($A122,'Generation Capacity'!$B$27:$B$48,FALSE),MATCH(EDC_NAME,'Generation Capacity'!$E$26:$K$26,FALSE))+
        OFFSET(DRIPE!$B$35,MATCH('Output (non-LI)'!$B122,DRIPE!$B$11:$B$30,0),MATCH('Output (non-LI)'!$B$109,DRIPE!$C$10:$G$10,0),1,1)))</f>
        <v>30.626382139860866</v>
      </c>
      <c r="J122" s="15">
        <f ca="1">(IF(VALUE(RIGHT($B$109,2))&gt;$A122,0,INDEX('Generation Capacity'!$E$27:$K$48,MATCH($A122,'Generation Capacity'!$B$27:$B$48,FALSE),MATCH(EDC_NAME,'Generation Capacity'!$E$26:$K$26,FALSE))+
        OFFSET(DRIPE!$I$35,MATCH('Output (non-LI)'!$B122,DRIPE!$B$11:$B$30,0),MATCH('Output (non-LI)'!$B$109,DRIPE!$C$10:$G$10,0),1,1)))</f>
        <v>30.626382139860866</v>
      </c>
      <c r="K122" s="15">
        <f ca="1">IFERROR(IF(VALUE(RIGHT($B$109,2))&gt;$A122,0,INDEX('T&amp;D Capacity'!$E$4:$K$23,MATCH($A122,'T&amp;D Capacity'!$B$4:$B$23,FALSE),MATCH(EDC_NAME,'T&amp;D Capacity'!$E$3:$K$3,FALSE))),0)</f>
        <v>10.61811872230064</v>
      </c>
      <c r="L122" s="15">
        <f ca="1">IFERROR(IF(VALUE(RIGHT($B$109,2))&gt;$A122,0,INDEX('T&amp;D Capacity'!$E$28:$K$47,MATCH($A122,'T&amp;D Capacity'!$B$28:$B$47,FALSE),MATCH(EDC_NAME,'T&amp;D Capacity'!$E$27:$K$27,FALSE))),0)</f>
        <v>10.61811872230064</v>
      </c>
      <c r="M122" s="15">
        <f ca="1">IFERROR(IF(VALUE(RIGHT($B$109,2))&gt;$A122,0,INDEX('T&amp;D Capacity'!$M$4:$S$23,MATCH($A122,'T&amp;D Capacity'!$B$4:$B$23,FALSE),MATCH(EDC_NAME,'T&amp;D Capacity'!$M$3:$S$3,FALSE))),0)</f>
        <v>68.909010658862414</v>
      </c>
      <c r="N122" s="15">
        <f ca="1">IFERROR(IF(VALUE(RIGHT($B$109,2))&gt;$A122,0,INDEX('T&amp;D Capacity'!$M$28:$S$47,MATCH($A122,'T&amp;D Capacity'!$B$28:$B$47,FALSE),MATCH(EDC_NAME,'T&amp;D Capacity'!$M$27:$S$27,FALSE))),0)</f>
        <v>9.9922839332327538</v>
      </c>
      <c r="O122" s="16">
        <f>IFERROR(IF(VALUE(RIGHT($B$109,2))&gt;$A122,0,IFERROR(AVERAGEIF('NG Futures'!$E:$E,$B122,'NG Futures'!$I:$I),"Data Missing")),0)</f>
        <v>4.5669539736620006</v>
      </c>
      <c r="P122" s="322"/>
    </row>
    <row r="123" spans="1:16" s="50" customFormat="1" ht="15" customHeight="1" x14ac:dyDescent="0.2">
      <c r="A123" s="124">
        <f t="shared" ref="A123:B123" si="64">A122+1</f>
        <v>28</v>
      </c>
      <c r="B123" s="124">
        <f t="shared" si="64"/>
        <v>2037</v>
      </c>
      <c r="C123" s="122">
        <f ca="1">IFERROR(IF(VALUE(RIGHT($B$109,2))&gt;$A123,0,AVERAGEIFS(Elec_On_Peak, 'Avoided AC'!$D:$D, $B123, 'Avoided AC'!$E:$E, "Summer") +
        INDEX(AEPS!$S$8:$S$37, MATCH($A123, 'General Inputs'!$F$3:$F$32, 0)) +
        OFFSET(DRIPE!$I$10, MATCH('Output (non-LI)'!$B123, DRIPE!$I$11:$I$30, 0), MATCH('Output (non-LI)'!$B$109, DRIPE!$J$10:$N$10, 0), 1, 1)),"Data Missing")</f>
        <v>86.081181235321466</v>
      </c>
      <c r="D123" s="17">
        <f ca="1">IFERROR(IF(VALUE(RIGHT($B$109,2))&gt;$A123,0,AVERAGEIFS(Elec_Off_Peak, 'Avoided AC'!$D:$D, $B123, 'Avoided AC'!$E:$E, "Summer") +
        INDEX(AEPS!$S$8:$S$37, MATCH($A123, 'General Inputs'!$F$3:$F$32, 0)) +
        OFFSET(DRIPE!$I$10, MATCH('Output (non-LI)'!$B123, DRIPE!$I$11:$I$30, 0), MATCH('Output (non-LI)'!$B$109, DRIPE!$J$10:$N$10, 0), 1, 1)),"Data Missing")</f>
        <v>52.621174113714616</v>
      </c>
      <c r="E123" s="17">
        <f ca="1">IFERROR(IF(VALUE(RIGHT($B$109,2))&gt;$A123,0,AVERAGEIFS(Elec_On_Peak, 'Avoided AC'!$D:$D, $B123, 'Avoided AC'!$E:$E, "Winter") +
        INDEX(AEPS!$S$8:$S$37, MATCH($A123, 'General Inputs'!$F$3:$F$32, 0)) +
        OFFSET(DRIPE!$I$10, MATCH('Output (non-LI)'!$B123, DRIPE!$I$11:$I$30, 0), MATCH('Output (non-LI)'!$B$109, DRIPE!$J$10:$N$10, 0), 1, 1)),"Data Missing")</f>
        <v>106.26257643562121</v>
      </c>
      <c r="F123" s="17">
        <f ca="1">IFERROR(IF(VALUE(RIGHT($B$109,2))&gt;$A123,0,AVERAGEIFS(Elec_Off_Peak, 'Avoided AC'!$D:$D, $B123, 'Avoided AC'!$E:$E, "Winter") +
        INDEX(AEPS!$S$8:$S$37, MATCH($A123, 'General Inputs'!$F$3:$F$32, 0)) +
        OFFSET(DRIPE!$I$10, MATCH('Output (non-LI)'!$B123, DRIPE!$I$11:$I$30, 0), MATCH('Output (non-LI)'!$B$109, DRIPE!$J$10:$N$10, 0), 1, 1)),"Data Missing")</f>
        <v>86.635878155135345</v>
      </c>
      <c r="G123" s="17">
        <f ca="1">IFERROR(IF(VALUE(RIGHT($B$109,2))&gt;$A123,0,AVERAGEIFS(Elec_On_Peak, 'Avoided AC'!$D:$D, $B123, 'Avoided AC'!$E:$E, "Shoulder") +
        INDEX(AEPS!$S$8:$S$37, MATCH($A123, 'General Inputs'!$F$3:$F$32, 0)) +
        OFFSET(DRIPE!$I$10, MATCH('Output (non-LI)'!$B123, DRIPE!$I$11:$I$30, 0), MATCH('Output (non-LI)'!$B$109, DRIPE!$J$10:$N$10, 0), 1, 1)),"Data Missing")</f>
        <v>73.788927663757889</v>
      </c>
      <c r="H123" s="17">
        <f ca="1">IFERROR(IF(VALUE(RIGHT($B$109,2))&gt;$A123,0,AVERAGEIFS(Elec_Off_Peak, 'Avoided AC'!$D:$D, $B123, 'Avoided AC'!$E:$E, "Shoulder") +
        INDEX(AEPS!$S$8:$S$37, MATCH($A123, 'General Inputs'!$F$3:$F$32, 0)) +
        OFFSET(DRIPE!$I$10, MATCH('Output (non-LI)'!$B123, DRIPE!$I$11:$I$30, 0), MATCH('Output (non-LI)'!$B$109, DRIPE!$J$10:$N$10, 0), 1, 1)),"Data Missing")</f>
        <v>57.149822062089441</v>
      </c>
      <c r="I123" s="17">
        <f ca="1">(IF(VALUE(RIGHT($B$109,2))&gt;$A123,0,INDEX('Generation Capacity'!$E$27:$K$48,MATCH($A123,'Generation Capacity'!$B$27:$B$48,FALSE),MATCH(EDC_NAME,'Generation Capacity'!$E$26:$K$26,FALSE))+
        OFFSET(DRIPE!$B$35,MATCH('Output (non-LI)'!$B123,DRIPE!$B$11:$B$30,0),MATCH('Output (non-LI)'!$B$109,DRIPE!$C$10:$G$10,0),1,1)))</f>
        <v>31.260820928258536</v>
      </c>
      <c r="J123" s="17">
        <f ca="1">(IF(VALUE(RIGHT($B$109,2))&gt;$A123,0,INDEX('Generation Capacity'!$E$27:$K$48,MATCH($A123,'Generation Capacity'!$B$27:$B$48,FALSE),MATCH(EDC_NAME,'Generation Capacity'!$E$26:$K$26,FALSE))+
        OFFSET(DRIPE!$I$35,MATCH('Output (non-LI)'!$B123,DRIPE!$B$11:$B$30,0),MATCH('Output (non-LI)'!$B$109,DRIPE!$C$10:$G$10,0),1,1)))</f>
        <v>31.260820928258536</v>
      </c>
      <c r="K123" s="17">
        <f ca="1">IFERROR(IF(VALUE(RIGHT($B$109,2))&gt;$A123,0,INDEX('T&amp;D Capacity'!$E$4:$K$23,MATCH($A123,'T&amp;D Capacity'!$B$4:$B$23,FALSE),MATCH(EDC_NAME,'T&amp;D Capacity'!$E$3:$K$3,FALSE))),0)</f>
        <v>10.838077656610132</v>
      </c>
      <c r="L123" s="17">
        <f ca="1">IFERROR(IF(VALUE(RIGHT($B$109,2))&gt;$A123,0,INDEX('T&amp;D Capacity'!$E$28:$K$47,MATCH($A123,'T&amp;D Capacity'!$B$28:$B$47,FALSE),MATCH(EDC_NAME,'T&amp;D Capacity'!$E$27:$K$27,FALSE))),0)</f>
        <v>10.838077656610132</v>
      </c>
      <c r="M123" s="17">
        <f ca="1">IFERROR(IF(VALUE(RIGHT($B$109,2))&gt;$A123,0,INDEX('T&amp;D Capacity'!$M$4:$S$23,MATCH($A123,'T&amp;D Capacity'!$B$4:$B$23,FALSE),MATCH(EDC_NAME,'T&amp;D Capacity'!$M$3:$S$3,FALSE))),0)</f>
        <v>70.336490699842841</v>
      </c>
      <c r="N123" s="17">
        <f ca="1">IFERROR(IF(VALUE(RIGHT($B$109,2))&gt;$A123,0,INDEX('T&amp;D Capacity'!$M$28:$S$47,MATCH($A123,'T&amp;D Capacity'!$B$28:$B$47,FALSE),MATCH(EDC_NAME,'T&amp;D Capacity'!$M$27:$S$27,FALSE))),0)</f>
        <v>10.199278428468112</v>
      </c>
      <c r="O123" s="18">
        <f>IFERROR(IF(VALUE(RIGHT($B$109,2))&gt;$A123,0,IFERROR(AVERAGEIF('NG Futures'!$E:$E,$B123,'NG Futures'!$I:$I),"Data Missing")),0)</f>
        <v>4.7349761155534029</v>
      </c>
      <c r="P123" s="323" t="s">
        <v>129</v>
      </c>
    </row>
    <row r="124" spans="1:16" s="50" customFormat="1" ht="15" customHeight="1" x14ac:dyDescent="0.2">
      <c r="A124" s="124">
        <f t="shared" ref="A124:B124" si="65">A123+1</f>
        <v>29</v>
      </c>
      <c r="B124" s="124">
        <f t="shared" si="65"/>
        <v>2038</v>
      </c>
      <c r="C124" s="122">
        <f ca="1">IFERROR(IF(VALUE(RIGHT($B$109,2))&gt;$A124,0,AVERAGEIFS(Elec_On_Peak, 'Avoided AC'!$D:$D, $B124, 'Avoided AC'!$E:$E, "Summer") +
        INDEX(AEPS!$S$8:$S$37, MATCH($A124, 'General Inputs'!$F$3:$F$32, 0)) +
        OFFSET(DRIPE!$I$10, MATCH('Output (non-LI)'!$B124, DRIPE!$I$11:$I$30, 0), MATCH('Output (non-LI)'!$B$109, DRIPE!$J$10:$N$10, 0), 1, 1)),"Data Missing")</f>
        <v>85.471926709319376</v>
      </c>
      <c r="D124" s="17">
        <f ca="1">IFERROR(IF(VALUE(RIGHT($B$109,2))&gt;$A124,0,AVERAGEIFS(Elec_Off_Peak, 'Avoided AC'!$D:$D, $B124, 'Avoided AC'!$E:$E, "Summer") +
        INDEX(AEPS!$S$8:$S$37, MATCH($A124, 'General Inputs'!$F$3:$F$32, 0)) +
        OFFSET(DRIPE!$I$10, MATCH('Output (non-LI)'!$B124, DRIPE!$I$11:$I$30, 0), MATCH('Output (non-LI)'!$B$109, DRIPE!$J$10:$N$10, 0), 1, 1)),"Data Missing")</f>
        <v>52.253857485063904</v>
      </c>
      <c r="E124" s="17">
        <f ca="1">IFERROR(IF(VALUE(RIGHT($B$109,2))&gt;$A124,0,AVERAGEIFS(Elec_On_Peak, 'Avoided AC'!$D:$D, $B124, 'Avoided AC'!$E:$E, "Winter") +
        INDEX(AEPS!$S$8:$S$37, MATCH($A124, 'General Inputs'!$F$3:$F$32, 0)) +
        OFFSET(DRIPE!$I$10, MATCH('Output (non-LI)'!$B124, DRIPE!$I$11:$I$30, 0), MATCH('Output (non-LI)'!$B$109, DRIPE!$J$10:$N$10, 0), 1, 1)),"Data Missing")</f>
        <v>104.53955523637298</v>
      </c>
      <c r="F124" s="17">
        <f ca="1">IFERROR(IF(VALUE(RIGHT($B$109,2))&gt;$A124,0,AVERAGEIFS(Elec_Off_Peak, 'Avoided AC'!$D:$D, $B124, 'Avoided AC'!$E:$E, "Winter") +
        INDEX(AEPS!$S$8:$S$37, MATCH($A124, 'General Inputs'!$F$3:$F$32, 0)) +
        OFFSET(DRIPE!$I$10, MATCH('Output (non-LI)'!$B124, DRIPE!$I$11:$I$30, 0), MATCH('Output (non-LI)'!$B$109, DRIPE!$J$10:$N$10, 0), 1, 1)),"Data Missing")</f>
        <v>85.501546871001608</v>
      </c>
      <c r="G124" s="17">
        <f ca="1">IFERROR(IF(VALUE(RIGHT($B$109,2))&gt;$A124,0,AVERAGEIFS(Elec_On_Peak, 'Avoided AC'!$D:$D, $B124, 'Avoided AC'!$E:$E, "Shoulder") +
        INDEX(AEPS!$S$8:$S$37, MATCH($A124, 'General Inputs'!$F$3:$F$32, 0)) +
        OFFSET(DRIPE!$I$10, MATCH('Output (non-LI)'!$B124, DRIPE!$I$11:$I$30, 0), MATCH('Output (non-LI)'!$B$109, DRIPE!$J$10:$N$10, 0), 1, 1)),"Data Missing")</f>
        <v>73.061660447706672</v>
      </c>
      <c r="H124" s="17">
        <f ca="1">IFERROR(IF(VALUE(RIGHT($B$109,2))&gt;$A124,0,AVERAGEIFS(Elec_Off_Peak, 'Avoided AC'!$D:$D, $B124, 'Avoided AC'!$E:$E, "Shoulder") +
        INDEX(AEPS!$S$8:$S$37, MATCH($A124, 'General Inputs'!$F$3:$F$32, 0)) +
        OFFSET(DRIPE!$I$10, MATCH('Output (non-LI)'!$B124, DRIPE!$I$11:$I$30, 0), MATCH('Output (non-LI)'!$B$109, DRIPE!$J$10:$N$10, 0), 1, 1)),"Data Missing")</f>
        <v>56.701233956229913</v>
      </c>
      <c r="I124" s="17">
        <f ca="1">(IF(VALUE(RIGHT($B$109,2))&gt;$A124,0,INDEX('Generation Capacity'!$E$27:$K$48,MATCH($A124,'Generation Capacity'!$B$27:$B$48,FALSE),MATCH(EDC_NAME,'Generation Capacity'!$E$26:$K$26,FALSE))+
        OFFSET(DRIPE!$B$35,MATCH('Output (non-LI)'!$B124,DRIPE!$B$11:$B$30,0),MATCH('Output (non-LI)'!$B$109,DRIPE!$C$10:$G$10,0),1,1)))</f>
        <v>31.908402391307927</v>
      </c>
      <c r="J124" s="17">
        <f ca="1">(IF(VALUE(RIGHT($B$109,2))&gt;$A124,0,INDEX('Generation Capacity'!$E$27:$K$48,MATCH($A124,'Generation Capacity'!$B$27:$B$48,FALSE),MATCH(EDC_NAME,'Generation Capacity'!$E$26:$K$26,FALSE))+
        OFFSET(DRIPE!$I$35,MATCH('Output (non-LI)'!$B124,DRIPE!$B$11:$B$30,0),MATCH('Output (non-LI)'!$B$109,DRIPE!$C$10:$G$10,0),1,1)))</f>
        <v>31.908402391307927</v>
      </c>
      <c r="K124" s="17">
        <f ca="1">IFERROR(IF(VALUE(RIGHT($B$109,2))&gt;$A124,0,INDEX('T&amp;D Capacity'!$E$4:$K$23,MATCH($A124,'T&amp;D Capacity'!$B$4:$B$23,FALSE),MATCH(EDC_NAME,'T&amp;D Capacity'!$E$3:$K$3,FALSE))),0)</f>
        <v>11.062593135637941</v>
      </c>
      <c r="L124" s="17">
        <f ca="1">IFERROR(IF(VALUE(RIGHT($B$109,2))&gt;$A124,0,INDEX('T&amp;D Capacity'!$E$28:$K$47,MATCH($A124,'T&amp;D Capacity'!$B$28:$B$47,FALSE),MATCH(EDC_NAME,'T&amp;D Capacity'!$E$27:$K$27,FALSE))),0)</f>
        <v>11.062593135637941</v>
      </c>
      <c r="M124" s="17">
        <f ca="1">IFERROR(IF(VALUE(RIGHT($B$109,2))&gt;$A124,0,INDEX('T&amp;D Capacity'!$M$4:$S$23,MATCH($A124,'T&amp;D Capacity'!$B$4:$B$23,FALSE),MATCH(EDC_NAME,'T&amp;D Capacity'!$M$3:$S$3,FALSE))),0)</f>
        <v>71.793541608956687</v>
      </c>
      <c r="N124" s="17">
        <f ca="1">IFERROR(IF(VALUE(RIGHT($B$109,2))&gt;$A124,0,INDEX('T&amp;D Capacity'!$M$28:$S$47,MATCH($A124,'T&amp;D Capacity'!$B$28:$B$47,FALSE),MATCH(EDC_NAME,'T&amp;D Capacity'!$M$27:$S$27,FALSE))),0)</f>
        <v>10.410560904443814</v>
      </c>
      <c r="O124" s="18">
        <f>IFERROR(IF(VALUE(RIGHT($B$109,2))&gt;$A124,0,IFERROR(AVERAGEIF('NG Futures'!$E:$E,$B124,'NG Futures'!$I:$I),"Data Missing")),0)</f>
        <v>4.6357120000208072</v>
      </c>
      <c r="P124" s="324"/>
    </row>
    <row r="125" spans="1:16" s="50" customFormat="1" ht="15" customHeight="1" x14ac:dyDescent="0.2">
      <c r="A125" s="124">
        <f t="shared" ref="A125:B125" si="66">A124+1</f>
        <v>30</v>
      </c>
      <c r="B125" s="124">
        <f t="shared" si="66"/>
        <v>2039</v>
      </c>
      <c r="C125" s="122">
        <f ca="1">IFERROR(IF(VALUE(RIGHT($B$109,2))&gt;$A125,0,AVERAGEIFS(Elec_On_Peak, 'Avoided AC'!$D:$D, $B125, 'Avoided AC'!$E:$E, "Summer") +
        INDEX(AEPS!$S$8:$S$37, MATCH($A125, 'General Inputs'!$F$3:$F$32, 0)) +
        OFFSET(DRIPE!$I$10, MATCH('Output (non-LI)'!$B125, DRIPE!$I$11:$I$30, 0), MATCH('Output (non-LI)'!$B$109, DRIPE!$J$10:$N$10, 0), 1, 1)),"Data Missing")</f>
        <v>85.054189195315658</v>
      </c>
      <c r="D125" s="17">
        <f ca="1">IFERROR(IF(VALUE(RIGHT($B$109,2))&gt;$A125,0,AVERAGEIFS(Elec_Off_Peak, 'Avoided AC'!$D:$D, $B125, 'Avoided AC'!$E:$E, "Summer") +
        INDEX(AEPS!$S$8:$S$37, MATCH($A125, 'General Inputs'!$F$3:$F$32, 0)) +
        OFFSET(DRIPE!$I$10, MATCH('Output (non-LI)'!$B125, DRIPE!$I$11:$I$30, 0), MATCH('Output (non-LI)'!$B$109, DRIPE!$J$10:$N$10, 0), 1, 1)),"Data Missing")</f>
        <v>52.019477494894559</v>
      </c>
      <c r="E125" s="17">
        <f ca="1">IFERROR(IF(VALUE(RIGHT($B$109,2))&gt;$A125,0,AVERAGEIFS(Elec_On_Peak, 'Avoided AC'!$D:$D, $B125, 'Avoided AC'!$E:$E, "Winter") +
        INDEX(AEPS!$S$8:$S$37, MATCH($A125, 'General Inputs'!$F$3:$F$32, 0)) +
        OFFSET(DRIPE!$I$10, MATCH('Output (non-LI)'!$B125, DRIPE!$I$11:$I$30, 0), MATCH('Output (non-LI)'!$B$109, DRIPE!$J$10:$N$10, 0), 1, 1)),"Data Missing")</f>
        <v>103.2777271455256</v>
      </c>
      <c r="F125" s="17">
        <f ca="1">IFERROR(IF(VALUE(RIGHT($B$109,2))&gt;$A125,0,AVERAGEIFS(Elec_Off_Peak, 'Avoided AC'!$D:$D, $B125, 'Avoided AC'!$E:$E, "Winter") +
        INDEX(AEPS!$S$8:$S$37, MATCH($A125, 'General Inputs'!$F$3:$F$32, 0)) +
        OFFSET(DRIPE!$I$10, MATCH('Output (non-LI)'!$B125, DRIPE!$I$11:$I$30, 0), MATCH('Output (non-LI)'!$B$109, DRIPE!$J$10:$N$10, 0), 1, 1)),"Data Missing")</f>
        <v>84.68586932673395</v>
      </c>
      <c r="G125" s="17">
        <f ca="1">IFERROR(IF(VALUE(RIGHT($B$109,2))&gt;$A125,0,AVERAGEIFS(Elec_On_Peak, 'Avoided AC'!$D:$D, $B125, 'Avoided AC'!$E:$E, "Shoulder") +
        INDEX(AEPS!$S$8:$S$37, MATCH($A125, 'General Inputs'!$F$3:$F$32, 0)) +
        OFFSET(DRIPE!$I$10, MATCH('Output (non-LI)'!$B125, DRIPE!$I$11:$I$30, 0), MATCH('Output (non-LI)'!$B$109, DRIPE!$J$10:$N$10, 0), 1, 1)),"Data Missing")</f>
        <v>72.554484632116768</v>
      </c>
      <c r="H125" s="17">
        <f ca="1">IFERROR(IF(VALUE(RIGHT($B$109,2))&gt;$A125,0,AVERAGEIFS(Elec_Off_Peak, 'Avoided AC'!$D:$D, $B125, 'Avoided AC'!$E:$E, "Shoulder") +
        INDEX(AEPS!$S$8:$S$37, MATCH($A125, 'General Inputs'!$F$3:$F$32, 0)) +
        OFFSET(DRIPE!$I$10, MATCH('Output (non-LI)'!$B125, DRIPE!$I$11:$I$30, 0), MATCH('Output (non-LI)'!$B$109, DRIPE!$J$10:$N$10, 0), 1, 1)),"Data Missing")</f>
        <v>56.405260734977276</v>
      </c>
      <c r="I125" s="17">
        <f ca="1">(IF(VALUE(RIGHT($B$109,2))&gt;$A125,0,INDEX('Generation Capacity'!$E$27:$K$48,MATCH($A125,'Generation Capacity'!$B$27:$B$48,FALSE),MATCH(EDC_NAME,'Generation Capacity'!$E$26:$K$26,FALSE))+
        OFFSET(DRIPE!$B$35,MATCH('Output (non-LI)'!$B125,DRIPE!$B$11:$B$30,0),MATCH('Output (non-LI)'!$B$109,DRIPE!$C$10:$G$10,0),1,1)))</f>
        <v>32.569398785214304</v>
      </c>
      <c r="J125" s="17">
        <f ca="1">(IF(VALUE(RIGHT($B$109,2))&gt;$A125,0,INDEX('Generation Capacity'!$E$27:$K$48,MATCH($A125,'Generation Capacity'!$B$27:$B$48,FALSE),MATCH(EDC_NAME,'Generation Capacity'!$E$26:$K$26,FALSE))+
        OFFSET(DRIPE!$I$35,MATCH('Output (non-LI)'!$B125,DRIPE!$B$11:$B$30,0),MATCH('Output (non-LI)'!$B$109,DRIPE!$C$10:$G$10,0),1,1)))</f>
        <v>32.569398785214304</v>
      </c>
      <c r="K125" s="17">
        <f ca="1">IFERROR(IF(VALUE(RIGHT($B$109,2))&gt;$A125,0,INDEX('T&amp;D Capacity'!$E$4:$K$23,MATCH($A125,'T&amp;D Capacity'!$B$4:$B$23,FALSE),MATCH(EDC_NAME,'T&amp;D Capacity'!$E$3:$K$3,FALSE))),0)</f>
        <v>11.291759550184038</v>
      </c>
      <c r="L125" s="17">
        <f ca="1">IFERROR(IF(VALUE(RIGHT($B$109,2))&gt;$A125,0,INDEX('T&amp;D Capacity'!$E$28:$K$47,MATCH($A125,'T&amp;D Capacity'!$B$28:$B$47,FALSE),MATCH(EDC_NAME,'T&amp;D Capacity'!$E$27:$K$27,FALSE))),0)</f>
        <v>11.291759550184038</v>
      </c>
      <c r="M125" s="17">
        <f ca="1">IFERROR(IF(VALUE(RIGHT($B$109,2))&gt;$A125,0,INDEX('T&amp;D Capacity'!$M$4:$S$23,MATCH($A125,'T&amp;D Capacity'!$B$4:$B$23,FALSE),MATCH(EDC_NAME,'T&amp;D Capacity'!$M$3:$S$3,FALSE))),0)</f>
        <v>73.280775959561936</v>
      </c>
      <c r="N125" s="17">
        <f ca="1">IFERROR(IF(VALUE(RIGHT($B$109,2))&gt;$A125,0,INDEX('T&amp;D Capacity'!$M$28:$S$47,MATCH($A125,'T&amp;D Capacity'!$B$28:$B$47,FALSE),MATCH(EDC_NAME,'T&amp;D Capacity'!$M$27:$S$27,FALSE))),0)</f>
        <v>10.626220188540552</v>
      </c>
      <c r="O125" s="18">
        <f>IFERROR(IF(VALUE(RIGHT($B$109,2))&gt;$A125,0,IFERROR(AVERAGEIF('NG Futures'!$E:$E,$B125,'NG Futures'!$I:$I),"Data Missing")),0)</f>
        <v>4.5604826844447048</v>
      </c>
      <c r="P125" s="324"/>
    </row>
    <row r="126" spans="1:16" s="50" customFormat="1" ht="15" customHeight="1" x14ac:dyDescent="0.2">
      <c r="A126" s="124">
        <f t="shared" ref="A126:B126" si="67">A125+1</f>
        <v>31</v>
      </c>
      <c r="B126" s="124">
        <f t="shared" si="67"/>
        <v>2040</v>
      </c>
      <c r="C126" s="122">
        <f ca="1">IFERROR(IF(VALUE(RIGHT($B$109,2))&gt;$A126,0,AVERAGEIFS(Elec_On_Peak, 'Avoided AC'!$D:$D, $B126, 'Avoided AC'!$E:$E, "Summer") +
        INDEX(AEPS!$S$8:$S$37, MATCH($A126, 'General Inputs'!$F$3:$F$32, 0)) +
        OFFSET(DRIPE!$I$10, MATCH('Output (non-LI)'!$B126, DRIPE!$I$11:$I$30, 0), MATCH('Output (non-LI)'!$B$109, DRIPE!$J$10:$N$10, 0), 1, 1)),"Data Missing")</f>
        <v>85.479707682739601</v>
      </c>
      <c r="D126" s="17">
        <f ca="1">IFERROR(IF(VALUE(RIGHT($B$109,2))&gt;$A126,0,AVERAGEIFS(Elec_Off_Peak, 'Avoided AC'!$D:$D, $B126, 'Avoided AC'!$E:$E, "Summer") +
        INDEX(AEPS!$S$8:$S$37, MATCH($A126, 'General Inputs'!$F$3:$F$32, 0)) +
        OFFSET(DRIPE!$I$10, MATCH('Output (non-LI)'!$B126, DRIPE!$I$11:$I$30, 0), MATCH('Output (non-LI)'!$B$109, DRIPE!$J$10:$N$10, 0), 1, 1)),"Data Missing")</f>
        <v>52.366886357321818</v>
      </c>
      <c r="E126" s="17">
        <f ca="1">IFERROR(IF(VALUE(RIGHT($B$109,2))&gt;$A126,0,AVERAGEIFS(Elec_On_Peak, 'Avoided AC'!$D:$D, $B126, 'Avoided AC'!$E:$E, "Winter") +
        INDEX(AEPS!$S$8:$S$37, MATCH($A126, 'General Inputs'!$F$3:$F$32, 0)) +
        OFFSET(DRIPE!$I$10, MATCH('Output (non-LI)'!$B126, DRIPE!$I$11:$I$30, 0), MATCH('Output (non-LI)'!$B$109, DRIPE!$J$10:$N$10, 0), 1, 1)),"Data Missing")</f>
        <v>104.0628250875676</v>
      </c>
      <c r="F126" s="17">
        <f ca="1">IFERROR(IF(VALUE(RIGHT($B$109,2))&gt;$A126,0,AVERAGEIFS(Elec_Off_Peak, 'Avoided AC'!$D:$D, $B126, 'Avoided AC'!$E:$E, "Winter") +
        INDEX(AEPS!$S$8:$S$37, MATCH($A126, 'General Inputs'!$F$3:$F$32, 0)) +
        OFFSET(DRIPE!$I$10, MATCH('Output (non-LI)'!$B126, DRIPE!$I$11:$I$30, 0), MATCH('Output (non-LI)'!$B$109, DRIPE!$J$10:$N$10, 0), 1, 1)),"Data Missing")</f>
        <v>85.280908790909052</v>
      </c>
      <c r="G126" s="17">
        <f ca="1">IFERROR(IF(VALUE(RIGHT($B$109,2))&gt;$A126,0,AVERAGEIFS(Elec_On_Peak, 'Avoided AC'!$D:$D, $B126, 'Avoided AC'!$E:$E, "Shoulder") +
        INDEX(AEPS!$S$8:$S$37, MATCH($A126, 'General Inputs'!$F$3:$F$32, 0)) +
        OFFSET(DRIPE!$I$10, MATCH('Output (non-LI)'!$B126, DRIPE!$I$11:$I$30, 0), MATCH('Output (non-LI)'!$B$109, DRIPE!$J$10:$N$10, 0), 1, 1)),"Data Missing")</f>
        <v>73.018103504248913</v>
      </c>
      <c r="H126" s="17">
        <f ca="1">IFERROR(IF(VALUE(RIGHT($B$109,2))&gt;$A126,0,AVERAGEIFS(Elec_Off_Peak, 'Avoided AC'!$D:$D, $B126, 'Avoided AC'!$E:$E, "Shoulder") +
        INDEX(AEPS!$S$8:$S$37, MATCH($A126, 'General Inputs'!$F$3:$F$32, 0)) +
        OFFSET(DRIPE!$I$10, MATCH('Output (non-LI)'!$B126, DRIPE!$I$11:$I$30, 0), MATCH('Output (non-LI)'!$B$109, DRIPE!$J$10:$N$10, 0), 1, 1)),"Data Missing")</f>
        <v>56.778908085368613</v>
      </c>
      <c r="I126" s="17">
        <f ca="1">(IF(VALUE(RIGHT($B$109,2))&gt;$A126,0,INDEX('Generation Capacity'!$E$27:$K$48,MATCH($A126,'Generation Capacity'!$B$27:$B$48,FALSE),MATCH(EDC_NAME,'Generation Capacity'!$E$26:$K$26,FALSE))+
        OFFSET(DRIPE!$B$35,MATCH('Output (non-LI)'!$B126,DRIPE!$B$11:$B$30,0),MATCH('Output (non-LI)'!$B$109,DRIPE!$C$10:$G$10,0),1,1)))</f>
        <v>33.244088006088298</v>
      </c>
      <c r="J126" s="17">
        <f ca="1">(IF(VALUE(RIGHT($B$109,2))&gt;$A126,0,INDEX('Generation Capacity'!$E$27:$K$48,MATCH($A126,'Generation Capacity'!$B$27:$B$48,FALSE),MATCH(EDC_NAME,'Generation Capacity'!$E$26:$K$26,FALSE))+
        OFFSET(DRIPE!$I$35,MATCH('Output (non-LI)'!$B126,DRIPE!$B$11:$B$30,0),MATCH('Output (non-LI)'!$B$109,DRIPE!$C$10:$G$10,0),1,1)))</f>
        <v>33.244088006088298</v>
      </c>
      <c r="K126" s="17">
        <f ca="1">IFERROR(IF(VALUE(RIGHT($B$109,2))&gt;$A126,0,INDEX('T&amp;D Capacity'!$E$4:$K$23,MATCH($A126,'T&amp;D Capacity'!$B$4:$B$23,FALSE),MATCH(EDC_NAME,'T&amp;D Capacity'!$E$3:$K$3,FALSE))),0)</f>
        <v>11.525673246394749</v>
      </c>
      <c r="L126" s="17">
        <f ca="1">IFERROR(IF(VALUE(RIGHT($B$109,2))&gt;$A126,0,INDEX('T&amp;D Capacity'!$E$28:$K$47,MATCH($A126,'T&amp;D Capacity'!$B$28:$B$47,FALSE),MATCH(EDC_NAME,'T&amp;D Capacity'!$E$27:$K$27,FALSE))),0)</f>
        <v>11.525673246394749</v>
      </c>
      <c r="M126" s="17">
        <f ca="1">IFERROR(IF(VALUE(RIGHT($B$109,2))&gt;$A126,0,INDEX('T&amp;D Capacity'!$M$4:$S$23,MATCH($A126,'T&amp;D Capacity'!$B$4:$B$23,FALSE),MATCH(EDC_NAME,'T&amp;D Capacity'!$M$3:$S$3,FALSE))),0)</f>
        <v>74.798819014739365</v>
      </c>
      <c r="N126" s="17">
        <f ca="1">IFERROR(IF(VALUE(RIGHT($B$109,2))&gt;$A126,0,INDEX('T&amp;D Capacity'!$M$28:$S$47,MATCH($A126,'T&amp;D Capacity'!$B$28:$B$47,FALSE),MATCH(EDC_NAME,'T&amp;D Capacity'!$M$27:$S$27,FALSE))),0)</f>
        <v>10.846346948236732</v>
      </c>
      <c r="O126" s="18">
        <f>IFERROR(IF(VALUE(RIGHT($B$109,2))&gt;$A126,0,IFERROR(AVERAGEIF('NG Futures'!$E:$E,$B126,'NG Futures'!$I:$I),"Data Missing")),0)</f>
        <v>4.5925300938202467</v>
      </c>
      <c r="P126" s="324"/>
    </row>
    <row r="127" spans="1:16" s="50" customFormat="1" ht="15" customHeight="1" x14ac:dyDescent="0.2">
      <c r="A127" s="124">
        <f t="shared" ref="A127:B127" si="68">A126+1</f>
        <v>32</v>
      </c>
      <c r="B127" s="124">
        <f t="shared" si="68"/>
        <v>2041</v>
      </c>
      <c r="C127" s="122">
        <f ca="1">IFERROR(IF(VALUE(RIGHT($B$109,2))&gt;$A127,0,AVERAGEIFS(Elec_On_Peak, 'Avoided AC'!$D:$D, $B127, 'Avoided AC'!$E:$E, "Summer") +
        INDEX(AEPS!$S$8:$S$37, MATCH($A127, 'General Inputs'!$F$3:$F$32, 0)) +
        OFFSET(DRIPE!$I$10, MATCH('Output (non-LI)'!$B127, DRIPE!$I$11:$I$30, 0), MATCH('Output (non-LI)'!$B$109, DRIPE!$J$10:$N$10, 0), 1, 1)),"Data Missing")</f>
        <v>86.797941778981851</v>
      </c>
      <c r="D127" s="17">
        <f ca="1">IFERROR(IF(VALUE(RIGHT($B$109,2))&gt;$A127,0,AVERAGEIFS(Elec_Off_Peak, 'Avoided AC'!$D:$D, $B127, 'Avoided AC'!$E:$E, "Summer") +
        INDEX(AEPS!$S$8:$S$37, MATCH($A127, 'General Inputs'!$F$3:$F$32, 0)) +
        OFFSET(DRIPE!$I$10, MATCH('Output (non-LI)'!$B127, DRIPE!$I$11:$I$30, 0), MATCH('Output (non-LI)'!$B$109, DRIPE!$J$10:$N$10, 0), 1, 1)),"Data Missing")</f>
        <v>53.330166606061503</v>
      </c>
      <c r="E127" s="17">
        <f ca="1">IFERROR(IF(VALUE(RIGHT($B$109,2))&gt;$A127,0,AVERAGEIFS(Elec_On_Peak, 'Avoided AC'!$D:$D, $B127, 'Avoided AC'!$E:$E, "Winter") +
        INDEX(AEPS!$S$8:$S$37, MATCH($A127, 'General Inputs'!$F$3:$F$32, 0)) +
        OFFSET(DRIPE!$I$10, MATCH('Output (non-LI)'!$B127, DRIPE!$I$11:$I$30, 0), MATCH('Output (non-LI)'!$B$109, DRIPE!$J$10:$N$10, 0), 1, 1)),"Data Missing")</f>
        <v>107.01509738211125</v>
      </c>
      <c r="F127" s="17">
        <f ca="1">IFERROR(IF(VALUE(RIGHT($B$109,2))&gt;$A127,0,AVERAGEIFS(Elec_Off_Peak, 'Avoided AC'!$D:$D, $B127, 'Avoided AC'!$E:$E, "Winter") +
        INDEX(AEPS!$S$8:$S$37, MATCH($A127, 'General Inputs'!$F$3:$F$32, 0)) +
        OFFSET(DRIPE!$I$10, MATCH('Output (non-LI)'!$B127, DRIPE!$I$11:$I$30, 0), MATCH('Output (non-LI)'!$B$109, DRIPE!$J$10:$N$10, 0), 1, 1)),"Data Missing")</f>
        <v>87.369497666511606</v>
      </c>
      <c r="G127" s="17">
        <f ca="1">IFERROR(IF(VALUE(RIGHT($B$109,2))&gt;$A127,0,AVERAGEIFS(Elec_On_Peak, 'Avoided AC'!$D:$D, $B127, 'Avoided AC'!$E:$E, "Shoulder") +
        INDEX(AEPS!$S$8:$S$37, MATCH($A127, 'General Inputs'!$F$3:$F$32, 0)) +
        OFFSET(DRIPE!$I$10, MATCH('Output (non-LI)'!$B127, DRIPE!$I$11:$I$30, 0), MATCH('Output (non-LI)'!$B$109, DRIPE!$J$10:$N$10, 0), 1, 1)),"Data Missing")</f>
        <v>74.509477314631226</v>
      </c>
      <c r="H127" s="17">
        <f ca="1">IFERROR(IF(VALUE(RIGHT($B$109,2))&gt;$A127,0,AVERAGEIFS(Elec_Off_Peak, 'Avoided AC'!$D:$D, $B127, 'Avoided AC'!$E:$E, "Shoulder") +
        INDEX(AEPS!$S$8:$S$37, MATCH($A127, 'General Inputs'!$F$3:$F$32, 0)) +
        OFFSET(DRIPE!$I$10, MATCH('Output (non-LI)'!$B127, DRIPE!$I$11:$I$30, 0), MATCH('Output (non-LI)'!$B$109, DRIPE!$J$10:$N$10, 0), 1, 1)),"Data Missing")</f>
        <v>57.861423988560503</v>
      </c>
      <c r="I127" s="17">
        <f ca="1">(IF(VALUE(RIGHT($B$109,2))&gt;$A127,0,INDEX('Generation Capacity'!$E$27:$K$48,MATCH($A127,'Generation Capacity'!$B$27:$B$48,FALSE),MATCH(EDC_NAME,'Generation Capacity'!$E$26:$K$26,FALSE))+
        OFFSET(DRIPE!$B$35,MATCH('Output (non-LI)'!$B127,DRIPE!$B$11:$B$30,0),MATCH('Output (non-LI)'!$B$109,DRIPE!$C$10:$G$10,0),1,1)))</f>
        <v>33.932753706778989</v>
      </c>
      <c r="J127" s="17">
        <f ca="1">(IF(VALUE(RIGHT($B$109,2))&gt;$A127,0,INDEX('Generation Capacity'!$E$27:$K$48,MATCH($A127,'Generation Capacity'!$B$27:$B$48,FALSE),MATCH(EDC_NAME,'Generation Capacity'!$E$26:$K$26,FALSE))+
        OFFSET(DRIPE!$I$35,MATCH('Output (non-LI)'!$B127,DRIPE!$B$11:$B$30,0),MATCH('Output (non-LI)'!$B$109,DRIPE!$C$10:$G$10,0),1,1)))</f>
        <v>33.932753706778989</v>
      </c>
      <c r="K127" s="17">
        <f ca="1">IFERROR(IF(VALUE(RIGHT($B$109,2))&gt;$A127,0,INDEX('T&amp;D Capacity'!$E$4:$K$23,MATCH($A127,'T&amp;D Capacity'!$B$4:$B$23,FALSE),MATCH(EDC_NAME,'T&amp;D Capacity'!$E$3:$K$3,FALSE))),0)</f>
        <v>11.76443256626861</v>
      </c>
      <c r="L127" s="17">
        <f ca="1">IFERROR(IF(VALUE(RIGHT($B$109,2))&gt;$A127,0,INDEX('T&amp;D Capacity'!$E$28:$K$47,MATCH($A127,'T&amp;D Capacity'!$B$28:$B$47,FALSE),MATCH(EDC_NAME,'T&amp;D Capacity'!$E$27:$K$27,FALSE))),0)</f>
        <v>11.76443256626861</v>
      </c>
      <c r="M127" s="17">
        <f ca="1">IFERROR(IF(VALUE(RIGHT($B$109,2))&gt;$A127,0,INDEX('T&amp;D Capacity'!$M$4:$S$23,MATCH($A127,'T&amp;D Capacity'!$B$4:$B$23,FALSE),MATCH(EDC_NAME,'T&amp;D Capacity'!$M$3:$S$3,FALSE))),0)</f>
        <v>76.34830899016562</v>
      </c>
      <c r="N127" s="17">
        <f ca="1">IFERROR(IF(VALUE(RIGHT($B$109,2))&gt;$A127,0,INDEX('T&amp;D Capacity'!$M$28:$S$47,MATCH($A127,'T&amp;D Capacity'!$B$28:$B$47,FALSE),MATCH(EDC_NAME,'T&amp;D Capacity'!$M$27:$S$27,FALSE))),0)</f>
        <v>11.071033729226899</v>
      </c>
      <c r="O127" s="18">
        <f>IFERROR(IF(VALUE(RIGHT($B$109,2))&gt;$A127,0,IFERROR(AVERAGEIF('NG Futures'!$E:$E,$B127,'NG Futures'!$I:$I),"Data Missing")),0)</f>
        <v>4.7381632505640319</v>
      </c>
      <c r="P127" s="324"/>
    </row>
    <row r="128" spans="1:16" s="50" customFormat="1" ht="15" customHeight="1" x14ac:dyDescent="0.2">
      <c r="A128" s="124">
        <f t="shared" ref="A128:B128" si="69">A127+1</f>
        <v>33</v>
      </c>
      <c r="B128" s="124">
        <f t="shared" si="69"/>
        <v>2042</v>
      </c>
      <c r="C128" s="122">
        <f ca="1">IFERROR(IF(VALUE(RIGHT($B$109,2))&gt;$A128,0,AVERAGEIFS(Elec_On_Peak, 'Avoided AC'!$D:$D, $B128, 'Avoided AC'!$E:$E, "Summer") +
        INDEX(AEPS!$S$8:$S$37, MATCH($A128, 'General Inputs'!$F$3:$F$32, 0)) +
        OFFSET(DRIPE!$I$10, MATCH('Output (non-LI)'!$B128, DRIPE!$I$11:$I$30, 0), MATCH('Output (non-LI)'!$B$109, DRIPE!$J$10:$N$10, 0), 1, 1)),"Data Missing")</f>
        <v>88.253494372988698</v>
      </c>
      <c r="D128" s="17">
        <f ca="1">IFERROR(IF(VALUE(RIGHT($B$109,2))&gt;$A128,0,AVERAGEIFS(Elec_Off_Peak, 'Avoided AC'!$D:$D, $B128, 'Avoided AC'!$E:$E, "Summer") +
        INDEX(AEPS!$S$8:$S$37, MATCH($A128, 'General Inputs'!$F$3:$F$32, 0)) +
        OFFSET(DRIPE!$I$10, MATCH('Output (non-LI)'!$B128, DRIPE!$I$11:$I$30, 0), MATCH('Output (non-LI)'!$B$109, DRIPE!$J$10:$N$10, 0), 1, 1)),"Data Missing")</f>
        <v>54.389122721346112</v>
      </c>
      <c r="E128" s="17">
        <f ca="1">IFERROR(IF(VALUE(RIGHT($B$109,2))&gt;$A128,0,AVERAGEIFS(Elec_On_Peak, 'Avoided AC'!$D:$D, $B128, 'Avoided AC'!$E:$E, "Winter") +
        INDEX(AEPS!$S$8:$S$37, MATCH($A128, 'General Inputs'!$F$3:$F$32, 0)) +
        OFFSET(DRIPE!$I$10, MATCH('Output (non-LI)'!$B128, DRIPE!$I$11:$I$30, 0), MATCH('Output (non-LI)'!$B$109, DRIPE!$J$10:$N$10, 0), 1, 1)),"Data Missing")</f>
        <v>110.29639098471289</v>
      </c>
      <c r="F128" s="17">
        <f ca="1">IFERROR(IF(VALUE(RIGHT($B$109,2))&gt;$A128,0,AVERAGEIFS(Elec_Off_Peak, 'Avoided AC'!$D:$D, $B128, 'Avoided AC'!$E:$E, "Winter") +
        INDEX(AEPS!$S$8:$S$37, MATCH($A128, 'General Inputs'!$F$3:$F$32, 0)) +
        OFFSET(DRIPE!$I$10, MATCH('Output (non-LI)'!$B128, DRIPE!$I$11:$I$30, 0), MATCH('Output (non-LI)'!$B$109, DRIPE!$J$10:$N$10, 0), 1, 1)),"Data Missing")</f>
        <v>89.685781859881985</v>
      </c>
      <c r="G128" s="17">
        <f ca="1">IFERROR(IF(VALUE(RIGHT($B$109,2))&gt;$A128,0,AVERAGEIFS(Elec_On_Peak, 'Avoided AC'!$D:$D, $B128, 'Avoided AC'!$E:$E, "Shoulder") +
        INDEX(AEPS!$S$8:$S$37, MATCH($A128, 'General Inputs'!$F$3:$F$32, 0)) +
        OFFSET(DRIPE!$I$10, MATCH('Output (non-LI)'!$B128, DRIPE!$I$11:$I$30, 0), MATCH('Output (non-LI)'!$B$109, DRIPE!$J$10:$N$10, 0), 1, 1)),"Data Missing")</f>
        <v>76.158482103727863</v>
      </c>
      <c r="H128" s="17">
        <f ca="1">IFERROR(IF(VALUE(RIGHT($B$109,2))&gt;$A128,0,AVERAGEIFS(Elec_Off_Peak, 'Avoided AC'!$D:$D, $B128, 'Avoided AC'!$E:$E, "Shoulder") +
        INDEX(AEPS!$S$8:$S$37, MATCH($A128, 'General Inputs'!$F$3:$F$32, 0)) +
        OFFSET(DRIPE!$I$10, MATCH('Output (non-LI)'!$B128, DRIPE!$I$11:$I$30, 0), MATCH('Output (non-LI)'!$B$109, DRIPE!$J$10:$N$10, 0), 1, 1)),"Data Missing")</f>
        <v>59.053604299121794</v>
      </c>
      <c r="I128" s="17">
        <f ca="1">(IF(VALUE(RIGHT($B$109,2))&gt;$A128,0,INDEX('Generation Capacity'!$E$27:$K$48,MATCH($A128,'Generation Capacity'!$B$27:$B$48,FALSE),MATCH(EDC_NAME,'Generation Capacity'!$E$26:$K$26,FALSE))+
        OFFSET(DRIPE!$B$35,MATCH('Output (non-LI)'!$B128,DRIPE!$B$11:$B$30,0),MATCH('Output (non-LI)'!$B$109,DRIPE!$C$10:$G$10,0),1,1)))</f>
        <v>34.635685416127252</v>
      </c>
      <c r="J128" s="17">
        <f ca="1">(IF(VALUE(RIGHT($B$109,2))&gt;$A128,0,INDEX('Generation Capacity'!$E$27:$K$48,MATCH($A128,'Generation Capacity'!$B$27:$B$48,FALSE),MATCH(EDC_NAME,'Generation Capacity'!$E$26:$K$26,FALSE))+
        OFFSET(DRIPE!$I$35,MATCH('Output (non-LI)'!$B128,DRIPE!$B$11:$B$30,0),MATCH('Output (non-LI)'!$B$109,DRIPE!$C$10:$G$10,0),1,1)))</f>
        <v>34.635685416127252</v>
      </c>
      <c r="K128" s="17">
        <f ca="1">IFERROR(IF(VALUE(RIGHT($B$109,2))&gt;$A128,0,INDEX('T&amp;D Capacity'!$E$4:$K$23,MATCH($A128,'T&amp;D Capacity'!$B$4:$B$23,FALSE),MATCH(EDC_NAME,'T&amp;D Capacity'!$E$3:$K$3,FALSE))),0)</f>
        <v>12.008137889001302</v>
      </c>
      <c r="L128" s="17">
        <f ca="1">IFERROR(IF(VALUE(RIGHT($B$109,2))&gt;$A128,0,INDEX('T&amp;D Capacity'!$E$28:$K$47,MATCH($A128,'T&amp;D Capacity'!$B$28:$B$47,FALSE),MATCH(EDC_NAME,'T&amp;D Capacity'!$E$27:$K$27,FALSE))),0)</f>
        <v>12.008137889001302</v>
      </c>
      <c r="M128" s="17">
        <f ca="1">IFERROR(IF(VALUE(RIGHT($B$109,2))&gt;$A128,0,INDEX('T&amp;D Capacity'!$M$4:$S$23,MATCH($A128,'T&amp;D Capacity'!$B$4:$B$23,FALSE),MATCH(EDC_NAME,'T&amp;D Capacity'!$M$3:$S$3,FALSE))),0)</f>
        <v>77.929897322431884</v>
      </c>
      <c r="N128" s="17">
        <f ca="1">IFERROR(IF(VALUE(RIGHT($B$109,2))&gt;$A128,0,INDEX('T&amp;D Capacity'!$M$28:$S$47,MATCH($A128,'T&amp;D Capacity'!$B$28:$B$47,FALSE),MATCH(EDC_NAME,'T&amp;D Capacity'!$M$27:$S$27,FALSE))),0)</f>
        <v>11.300374994329797</v>
      </c>
      <c r="O128" s="18">
        <f>IFERROR(IF(VALUE(RIGHT($B$109,2))&gt;$A128,0,IFERROR(AVERAGEIF('NG Futures'!$E:$E,$B128,'NG Futures'!$I:$I),"Data Missing")),0)</f>
        <v>4.9008818618881964</v>
      </c>
      <c r="P128" s="324"/>
    </row>
    <row r="129" spans="1:16" s="50" customFormat="1" ht="15" customHeight="1" x14ac:dyDescent="0.2">
      <c r="A129" s="124">
        <f t="shared" ref="A129:B129" si="70">A128+1</f>
        <v>34</v>
      </c>
      <c r="B129" s="124">
        <f t="shared" si="70"/>
        <v>2043</v>
      </c>
      <c r="C129" s="122">
        <f ca="1">IFERROR(IF(VALUE(RIGHT($B$109,2))&gt;$A129,0,AVERAGEIFS(Elec_On_Peak, 'Avoided AC'!$D:$D, $B129, 'Avoided AC'!$E:$E, "Summer") +
        INDEX(AEPS!$S$8:$S$37, MATCH($A129, 'General Inputs'!$F$3:$F$32, 0)) +
        OFFSET(DRIPE!$I$10, MATCH('Output (non-LI)'!$B129, DRIPE!$I$11:$I$30, 0), MATCH('Output (non-LI)'!$B$109, DRIPE!$J$10:$N$10, 0), 1, 1)),"Data Missing")</f>
        <v>89.750447311801722</v>
      </c>
      <c r="D129" s="17">
        <f ca="1">IFERROR(IF(VALUE(RIGHT($B$109,2))&gt;$A129,0,AVERAGEIFS(Elec_Off_Peak, 'Avoided AC'!$D:$D, $B129, 'Avoided AC'!$E:$E, "Summer") +
        INDEX(AEPS!$S$8:$S$37, MATCH($A129, 'General Inputs'!$F$3:$F$32, 0)) +
        OFFSET(DRIPE!$I$10, MATCH('Output (non-LI)'!$B129, DRIPE!$I$11:$I$30, 0), MATCH('Output (non-LI)'!$B$109, DRIPE!$J$10:$N$10, 0), 1, 1)),"Data Missing")</f>
        <v>55.47772119275929</v>
      </c>
      <c r="E129" s="17">
        <f ca="1">IFERROR(IF(VALUE(RIGHT($B$109,2))&gt;$A129,0,AVERAGEIFS(Elec_On_Peak, 'Avoided AC'!$D:$D, $B129, 'Avoided AC'!$E:$E, "Winter") +
        INDEX(AEPS!$S$8:$S$37, MATCH($A129, 'General Inputs'!$F$3:$F$32, 0)) +
        OFFSET(DRIPE!$I$10, MATCH('Output (non-LI)'!$B129, DRIPE!$I$11:$I$30, 0), MATCH('Output (non-LI)'!$B$109, DRIPE!$J$10:$N$10, 0), 1, 1)),"Data Missing")</f>
        <v>113.6732131033452</v>
      </c>
      <c r="F129" s="17">
        <f ca="1">IFERROR(IF(VALUE(RIGHT($B$109,2))&gt;$A129,0,AVERAGEIFS(Elec_Off_Peak, 'Avoided AC'!$D:$D, $B129, 'Avoided AC'!$E:$E, "Winter") +
        INDEX(AEPS!$S$8:$S$37, MATCH($A129, 'General Inputs'!$F$3:$F$32, 0)) +
        OFFSET(DRIPE!$I$10, MATCH('Output (non-LI)'!$B129, DRIPE!$I$11:$I$30, 0), MATCH('Output (non-LI)'!$B$109, DRIPE!$J$10:$N$10, 0), 1, 1)),"Data Missing")</f>
        <v>92.068984709346594</v>
      </c>
      <c r="G129" s="17">
        <f ca="1">IFERROR(IF(VALUE(RIGHT($B$109,2))&gt;$A129,0,AVERAGEIFS(Elec_On_Peak, 'Avoided AC'!$D:$D, $B129, 'Avoided AC'!$E:$E, "Shoulder") +
        INDEX(AEPS!$S$8:$S$37, MATCH($A129, 'General Inputs'!$F$3:$F$32, 0)) +
        OFFSET(DRIPE!$I$10, MATCH('Output (non-LI)'!$B129, DRIPE!$I$11:$I$30, 0), MATCH('Output (non-LI)'!$B$109, DRIPE!$J$10:$N$10, 0), 1, 1)),"Data Missing")</f>
        <v>77.854622560160081</v>
      </c>
      <c r="H129" s="17">
        <f ca="1">IFERROR(IF(VALUE(RIGHT($B$109,2))&gt;$A129,0,AVERAGEIFS(Elec_Off_Peak, 'Avoided AC'!$D:$D, $B129, 'Avoided AC'!$E:$E, "Shoulder") +
        INDEX(AEPS!$S$8:$S$37, MATCH($A129, 'General Inputs'!$F$3:$F$32, 0)) +
        OFFSET(DRIPE!$I$10, MATCH('Output (non-LI)'!$B129, DRIPE!$I$11:$I$30, 0), MATCH('Output (non-LI)'!$B$109, DRIPE!$J$10:$N$10, 0), 1, 1)),"Data Missing")</f>
        <v>60.279376694726778</v>
      </c>
      <c r="I129" s="17">
        <f ca="1">(IF(VALUE(RIGHT($B$109,2))&gt;$A129,0,INDEX('Generation Capacity'!$E$27:$K$48,MATCH($A129,'Generation Capacity'!$B$27:$B$48,FALSE),MATCH(EDC_NAME,'Generation Capacity'!$E$26:$K$26,FALSE))+
        OFFSET(DRIPE!$B$35,MATCH('Output (non-LI)'!$B129,DRIPE!$B$11:$B$30,0),MATCH('Output (non-LI)'!$B$109,DRIPE!$C$10:$G$10,0),1,1)))</f>
        <v>35.353178660689451</v>
      </c>
      <c r="J129" s="17">
        <f ca="1">(IF(VALUE(RIGHT($B$109,2))&gt;$A129,0,INDEX('Generation Capacity'!$E$27:$K$48,MATCH($A129,'Generation Capacity'!$B$27:$B$48,FALSE),MATCH(EDC_NAME,'Generation Capacity'!$E$26:$K$26,FALSE))+
        OFFSET(DRIPE!$I$35,MATCH('Output (non-LI)'!$B129,DRIPE!$B$11:$B$30,0),MATCH('Output (non-LI)'!$B$109,DRIPE!$C$10:$G$10,0),1,1)))</f>
        <v>35.353178660689451</v>
      </c>
      <c r="K129" s="17">
        <f ca="1">IFERROR(IF(VALUE(RIGHT($B$109,2))&gt;$A129,0,INDEX('T&amp;D Capacity'!$E$4:$K$23,MATCH($A129,'T&amp;D Capacity'!$B$4:$B$23,FALSE),MATCH(EDC_NAME,'T&amp;D Capacity'!$E$3:$K$3,FALSE))),0)</f>
        <v>12.256891673187081</v>
      </c>
      <c r="L129" s="17">
        <f ca="1">IFERROR(IF(VALUE(RIGHT($B$109,2))&gt;$A129,0,INDEX('T&amp;D Capacity'!$E$28:$K$47,MATCH($A129,'T&amp;D Capacity'!$B$28:$B$47,FALSE),MATCH(EDC_NAME,'T&amp;D Capacity'!$E$27:$K$27,FALSE))),0)</f>
        <v>12.256891673187081</v>
      </c>
      <c r="M129" s="17">
        <f ca="1">IFERROR(IF(VALUE(RIGHT($B$109,2))&gt;$A129,0,INDEX('T&amp;D Capacity'!$M$4:$S$23,MATCH($A129,'T&amp;D Capacity'!$B$4:$B$23,FALSE),MATCH(EDC_NAME,'T&amp;D Capacity'!$M$3:$S$3,FALSE))),0)</f>
        <v>79.544248942920845</v>
      </c>
      <c r="N129" s="17">
        <f ca="1">IFERROR(IF(VALUE(RIGHT($B$109,2))&gt;$A129,0,INDEX('T&amp;D Capacity'!$M$28:$S$47,MATCH($A129,'T&amp;D Capacity'!$B$28:$B$47,FALSE),MATCH(EDC_NAME,'T&amp;D Capacity'!$M$27:$S$27,FALSE))),0)</f>
        <v>11.534467163202425</v>
      </c>
      <c r="O129" s="18">
        <f>IFERROR(IF(VALUE(RIGHT($B$109,2))&gt;$A129,0,IFERROR(AVERAGEIF('NG Futures'!$E:$E,$B129,'NG Futures'!$I:$I),"Data Missing")),0)</f>
        <v>5.0684246299869011</v>
      </c>
      <c r="P129" s="324"/>
    </row>
    <row r="130" spans="1:16" s="50" customFormat="1" ht="15" customHeight="1" x14ac:dyDescent="0.2">
      <c r="A130" s="124">
        <f t="shared" ref="A130:B130" si="71">A129+1</f>
        <v>35</v>
      </c>
      <c r="B130" s="124">
        <f t="shared" si="71"/>
        <v>2044</v>
      </c>
      <c r="C130" s="122">
        <f ca="1">IFERROR(IF(VALUE(RIGHT($B$109,2))&gt;$A130,0,AVERAGEIFS(Elec_On_Peak, 'Avoided AC'!$D:$D, $B130, 'Avoided AC'!$E:$E, "Summer") +
        INDEX(AEPS!$S$8:$S$37, MATCH($A130, 'General Inputs'!$F$3:$F$32, 0)) +
        OFFSET(DRIPE!$I$10, MATCH('Output (non-LI)'!$B130, DRIPE!$I$11:$I$30, 0), MATCH('Output (non-LI)'!$B$109, DRIPE!$J$10:$N$10, 0), 1, 1)),"Data Missing")</f>
        <v>90.771671891321404</v>
      </c>
      <c r="D130" s="17">
        <f ca="1">IFERROR(IF(VALUE(RIGHT($B$109,2))&gt;$A130,0,AVERAGEIFS(Elec_Off_Peak, 'Avoided AC'!$D:$D, $B130, 'Avoided AC'!$E:$E, "Summer") +
        INDEX(AEPS!$S$8:$S$37, MATCH($A130, 'General Inputs'!$F$3:$F$32, 0)) +
        OFFSET(DRIPE!$I$10, MATCH('Output (non-LI)'!$B130, DRIPE!$I$11:$I$30, 0), MATCH('Output (non-LI)'!$B$109, DRIPE!$J$10:$N$10, 0), 1, 1)),"Data Missing")</f>
        <v>56.239855032725217</v>
      </c>
      <c r="E130" s="17">
        <f ca="1">IFERROR(IF(VALUE(RIGHT($B$109,2))&gt;$A130,0,AVERAGEIFS(Elec_On_Peak, 'Avoided AC'!$D:$D, $B130, 'Avoided AC'!$E:$E, "Winter") +
        INDEX(AEPS!$S$8:$S$37, MATCH($A130, 'General Inputs'!$F$3:$F$32, 0)) +
        OFFSET(DRIPE!$I$10, MATCH('Output (non-LI)'!$B130, DRIPE!$I$11:$I$30, 0), MATCH('Output (non-LI)'!$B$109, DRIPE!$J$10:$N$10, 0), 1, 1)),"Data Missing")</f>
        <v>115.88716785957854</v>
      </c>
      <c r="F130" s="17">
        <f ca="1">IFERROR(IF(VALUE(RIGHT($B$109,2))&gt;$A130,0,AVERAGEIFS(Elec_Off_Peak, 'Avoided AC'!$D:$D, $B130, 'Avoided AC'!$E:$E, "Winter") +
        INDEX(AEPS!$S$8:$S$37, MATCH($A130, 'General Inputs'!$F$3:$F$32, 0)) +
        OFFSET(DRIPE!$I$10, MATCH('Output (non-LI)'!$B130, DRIPE!$I$11:$I$30, 0), MATCH('Output (non-LI)'!$B$109, DRIPE!$J$10:$N$10, 0), 1, 1)),"Data Missing")</f>
        <v>93.65251278524336</v>
      </c>
      <c r="G130" s="17">
        <f ca="1">IFERROR(IF(VALUE(RIGHT($B$109,2))&gt;$A130,0,AVERAGEIFS(Elec_On_Peak, 'Avoided AC'!$D:$D, $B130, 'Avoided AC'!$E:$E, "Shoulder") +
        INDEX(AEPS!$S$8:$S$37, MATCH($A130, 'General Inputs'!$F$3:$F$32, 0)) +
        OFFSET(DRIPE!$I$10, MATCH('Output (non-LI)'!$B130, DRIPE!$I$11:$I$30, 0), MATCH('Output (non-LI)'!$B$109, DRIPE!$J$10:$N$10, 0), 1, 1)),"Data Missing")</f>
        <v>79.002226658871592</v>
      </c>
      <c r="H130" s="17">
        <f ca="1">IFERROR(IF(VALUE(RIGHT($B$109,2))&gt;$A130,0,AVERAGEIFS(Elec_Off_Peak, 'Avoided AC'!$D:$D, $B130, 'Avoided AC'!$E:$E, "Shoulder") +
        INDEX(AEPS!$S$8:$S$37, MATCH($A130, 'General Inputs'!$F$3:$F$32, 0)) +
        OFFSET(DRIPE!$I$10, MATCH('Output (non-LI)'!$B130, DRIPE!$I$11:$I$30, 0), MATCH('Output (non-LI)'!$B$109, DRIPE!$J$10:$N$10, 0), 1, 1)),"Data Missing")</f>
        <v>61.128543973294818</v>
      </c>
      <c r="I130" s="17">
        <f ca="1">(IF(VALUE(RIGHT($B$109,2))&gt;$A130,0,INDEX('Generation Capacity'!$E$27:$K$48,MATCH($A130,'Generation Capacity'!$B$27:$B$48,FALSE),MATCH(EDC_NAME,'Generation Capacity'!$E$26:$K$26,FALSE))+
        OFFSET(DRIPE!$B$35,MATCH('Output (non-LI)'!$B130,DRIPE!$B$11:$B$30,0),MATCH('Output (non-LI)'!$B$109,DRIPE!$C$10:$G$10,0),1,1)))</f>
        <v>36.085535088982752</v>
      </c>
      <c r="J130" s="17">
        <f ca="1">(IF(VALUE(RIGHT($B$109,2))&gt;$A130,0,INDEX('Generation Capacity'!$E$27:$K$48,MATCH($A130,'Generation Capacity'!$B$27:$B$48,FALSE),MATCH(EDC_NAME,'Generation Capacity'!$E$26:$K$26,FALSE))+
        OFFSET(DRIPE!$I$35,MATCH('Output (non-LI)'!$B130,DRIPE!$B$11:$B$30,0),MATCH('Output (non-LI)'!$B$109,DRIPE!$C$10:$G$10,0),1,1)))</f>
        <v>36.085535088982752</v>
      </c>
      <c r="K130" s="17">
        <f ca="1">IFERROR(IF(VALUE(RIGHT($B$109,2))&gt;$A130,0,INDEX('T&amp;D Capacity'!$E$4:$K$23,MATCH($A130,'T&amp;D Capacity'!$B$4:$B$23,FALSE),MATCH(EDC_NAME,'T&amp;D Capacity'!$E$3:$K$3,FALSE))),0)</f>
        <v>12.510798499894417</v>
      </c>
      <c r="L130" s="17">
        <f ca="1">IFERROR(IF(VALUE(RIGHT($B$109,2))&gt;$A130,0,INDEX('T&amp;D Capacity'!$E$28:$K$47,MATCH($A130,'T&amp;D Capacity'!$B$28:$B$47,FALSE),MATCH(EDC_NAME,'T&amp;D Capacity'!$E$27:$K$27,FALSE))),0)</f>
        <v>12.510798499894417</v>
      </c>
      <c r="M130" s="17">
        <f ca="1">IFERROR(IF(VALUE(RIGHT($B$109,2))&gt;$A130,0,INDEX('T&amp;D Capacity'!$M$4:$S$23,MATCH($A130,'T&amp;D Capacity'!$B$4:$B$23,FALSE),MATCH(EDC_NAME,'T&amp;D Capacity'!$M$3:$S$3,FALSE))),0)</f>
        <v>81.192042557357169</v>
      </c>
      <c r="N130" s="17">
        <f ca="1">IFERROR(IF(VALUE(RIGHT($B$109,2))&gt;$A130,0,INDEX('T&amp;D Capacity'!$M$28:$S$47,MATCH($A130,'T&amp;D Capacity'!$B$28:$B$47,FALSE),MATCH(EDC_NAME,'T&amp;D Capacity'!$M$27:$S$27,FALSE))),0)</f>
        <v>11.773408652876794</v>
      </c>
      <c r="O130" s="18">
        <f>IFERROR(IF(VALUE(RIGHT($B$109,2))&gt;$A130,0,IFERROR(AVERAGEIF('NG Futures'!$E:$E,$B130,'NG Futures'!$I:$I),"Data Missing")),0)</f>
        <v>5.1747263437160846</v>
      </c>
      <c r="P130" s="324"/>
    </row>
    <row r="131" spans="1:16" s="50" customFormat="1" ht="15" customHeight="1" x14ac:dyDescent="0.2">
      <c r="A131" s="124">
        <f t="shared" ref="A131:B131" si="72">A130+1</f>
        <v>36</v>
      </c>
      <c r="B131" s="124">
        <f t="shared" si="72"/>
        <v>2045</v>
      </c>
      <c r="C131" s="122">
        <f ca="1">IFERROR(IF(VALUE(RIGHT($B$109,2))&gt;$A131,0,AVERAGEIFS(Elec_On_Peak, 'Avoided AC'!$D:$D, $B131, 'Avoided AC'!$E:$E, "Summer") +
        INDEX(AEPS!$S$8:$S$37, MATCH($A131, 'General Inputs'!$F$3:$F$32, 0)) +
        OFFSET(DRIPE!$I$10, MATCH('Output (non-LI)'!$B131, DRIPE!$I$11:$I$30, 0), MATCH('Output (non-LI)'!$B$109, DRIPE!$J$10:$N$10, 0), 1, 1)),"Data Missing")</f>
        <v>91.55629291318408</v>
      </c>
      <c r="D131" s="17">
        <f ca="1">IFERROR(IF(VALUE(RIGHT($B$109,2))&gt;$A131,0,AVERAGEIFS(Elec_Off_Peak, 'Avoided AC'!$D:$D, $B131, 'Avoided AC'!$E:$E, "Summer") +
        INDEX(AEPS!$S$8:$S$37, MATCH($A131, 'General Inputs'!$F$3:$F$32, 0)) +
        OFFSET(DRIPE!$I$10, MATCH('Output (non-LI)'!$B131, DRIPE!$I$11:$I$30, 0), MATCH('Output (non-LI)'!$B$109, DRIPE!$J$10:$N$10, 0), 1, 1)),"Data Missing")</f>
        <v>56.840224744224557</v>
      </c>
      <c r="E131" s="17">
        <f ca="1">IFERROR(IF(VALUE(RIGHT($B$109,2))&gt;$A131,0,AVERAGEIFS(Elec_On_Peak, 'Avoided AC'!$D:$D, $B131, 'Avoided AC'!$E:$E, "Winter") +
        INDEX(AEPS!$S$8:$S$37, MATCH($A131, 'General Inputs'!$F$3:$F$32, 0)) +
        OFFSET(DRIPE!$I$10, MATCH('Output (non-LI)'!$B131, DRIPE!$I$11:$I$30, 0), MATCH('Output (non-LI)'!$B$109, DRIPE!$J$10:$N$10, 0), 1, 1)),"Data Missing")</f>
        <v>117.51999402512153</v>
      </c>
      <c r="F131" s="17">
        <f ca="1">IFERROR(IF(VALUE(RIGHT($B$109,2))&gt;$A131,0,AVERAGEIFS(Elec_Off_Peak, 'Avoided AC'!$D:$D, $B131, 'Avoided AC'!$E:$E, "Winter") +
        INDEX(AEPS!$S$8:$S$37, MATCH($A131, 'General Inputs'!$F$3:$F$32, 0)) +
        OFFSET(DRIPE!$I$10, MATCH('Output (non-LI)'!$B131, DRIPE!$I$11:$I$30, 0), MATCH('Output (non-LI)'!$B$109, DRIPE!$J$10:$N$10, 0), 1, 1)),"Data Missing")</f>
        <v>94.837013618356096</v>
      </c>
      <c r="G131" s="17">
        <f ca="1">IFERROR(IF(VALUE(RIGHT($B$109,2))&gt;$A131,0,AVERAGEIFS(Elec_On_Peak, 'Avoided AC'!$D:$D, $B131, 'Avoided AC'!$E:$E, "Shoulder") +
        INDEX(AEPS!$S$8:$S$37, MATCH($A131, 'General Inputs'!$F$3:$F$32, 0)) +
        OFFSET(DRIPE!$I$10, MATCH('Output (non-LI)'!$B131, DRIPE!$I$11:$I$30, 0), MATCH('Output (non-LI)'!$B$109, DRIPE!$J$10:$N$10, 0), 1, 1)),"Data Missing")</f>
        <v>79.87672195433548</v>
      </c>
      <c r="H131" s="17">
        <f ca="1">IFERROR(IF(VALUE(RIGHT($B$109,2))&gt;$A131,0,AVERAGEIFS(Elec_Off_Peak, 'Avoided AC'!$D:$D, $B131, 'Avoided AC'!$E:$E, "Shoulder") +
        INDEX(AEPS!$S$8:$S$37, MATCH($A131, 'General Inputs'!$F$3:$F$32, 0)) +
        OFFSET(DRIPE!$I$10, MATCH('Output (non-LI)'!$B131, DRIPE!$I$11:$I$30, 0), MATCH('Output (non-LI)'!$B$109, DRIPE!$J$10:$N$10, 0), 1, 1)),"Data Missing")</f>
        <v>61.79080715553529</v>
      </c>
      <c r="I131" s="17">
        <f ca="1">(IF(VALUE(RIGHT($B$109,2))&gt;$A131,0,INDEX('Generation Capacity'!$E$27:$K$48,MATCH($A131,'Generation Capacity'!$B$27:$B$48,FALSE),MATCH(EDC_NAME,'Generation Capacity'!$E$26:$K$26,FALSE))+
        OFFSET(DRIPE!$B$35,MATCH('Output (non-LI)'!$B131,DRIPE!$B$11:$B$30,0),MATCH('Output (non-LI)'!$B$109,DRIPE!$C$10:$G$10,0),1,1)))</f>
        <v>36.83306259830416</v>
      </c>
      <c r="J131" s="17">
        <f ca="1">(IF(VALUE(RIGHT($B$109,2))&gt;$A131,0,INDEX('Generation Capacity'!$E$27:$K$48,MATCH($A131,'Generation Capacity'!$B$27:$B$48,FALSE),MATCH(EDC_NAME,'Generation Capacity'!$E$26:$K$26,FALSE))+
        OFFSET(DRIPE!$I$35,MATCH('Output (non-LI)'!$B131,DRIPE!$B$11:$B$30,0),MATCH('Output (non-LI)'!$B$109,DRIPE!$C$10:$G$10,0),1,1)))</f>
        <v>36.83306259830416</v>
      </c>
      <c r="K131" s="17">
        <f ca="1">IFERROR(IF(VALUE(RIGHT($B$109,2))&gt;$A131,0,INDEX('T&amp;D Capacity'!$E$4:$K$23,MATCH($A131,'T&amp;D Capacity'!$B$4:$B$23,FALSE),MATCH(EDC_NAME,'T&amp;D Capacity'!$E$3:$K$3,FALSE))),0)</f>
        <v>12.769965116633969</v>
      </c>
      <c r="L131" s="17">
        <f ca="1">IFERROR(IF(VALUE(RIGHT($B$109,2))&gt;$A131,0,INDEX('T&amp;D Capacity'!$E$28:$K$47,MATCH($A131,'T&amp;D Capacity'!$B$28:$B$47,FALSE),MATCH(EDC_NAME,'T&amp;D Capacity'!$E$27:$K$27,FALSE))),0)</f>
        <v>12.769965116633969</v>
      </c>
      <c r="M131" s="17">
        <f ca="1">IFERROR(IF(VALUE(RIGHT($B$109,2))&gt;$A131,0,INDEX('T&amp;D Capacity'!$M$4:$S$23,MATCH($A131,'T&amp;D Capacity'!$B$4:$B$23,FALSE),MATCH(EDC_NAME,'T&amp;D Capacity'!$M$3:$S$3,FALSE))),0)</f>
        <v>82.873970931148946</v>
      </c>
      <c r="N131" s="17">
        <f ca="1">IFERROR(IF(VALUE(RIGHT($B$109,2))&gt;$A131,0,INDEX('T&amp;D Capacity'!$M$28:$S$47,MATCH($A131,'T&amp;D Capacity'!$B$28:$B$47,FALSE),MATCH(EDC_NAME,'T&amp;D Capacity'!$M$27:$S$27,FALSE))),0)</f>
        <v>12.017299919136418</v>
      </c>
      <c r="O131" s="18">
        <f>IFERROR(IF(VALUE(RIGHT($B$109,2))&gt;$A131,0,IFERROR(AVERAGEIF('NG Futures'!$E:$E,$B131,'NG Futures'!$I:$I),"Data Missing")),0)</f>
        <v>5.2503223688083311</v>
      </c>
      <c r="P131" s="324"/>
    </row>
    <row r="132" spans="1:16" s="50" customFormat="1" ht="15" customHeight="1" x14ac:dyDescent="0.2">
      <c r="A132" s="124">
        <f t="shared" ref="A132:B132" si="73">A131+1</f>
        <v>37</v>
      </c>
      <c r="B132" s="124">
        <f t="shared" si="73"/>
        <v>2046</v>
      </c>
      <c r="C132" s="122">
        <f ca="1">IFERROR(IF(VALUE(RIGHT($B$109,2))&gt;$A132,0,AVERAGEIFS(Elec_On_Peak, 'Avoided AC'!$D:$D, $B132, 'Avoided AC'!$E:$E, "Summer") +
        INDEX(AEPS!$S$8:$S$37, MATCH($A132, 'General Inputs'!$F$3:$F$32, 0)) +
        OFFSET(DRIPE!$I$10, MATCH('Output (non-LI)'!$B132, DRIPE!$I$11:$I$30, 0), MATCH('Output (non-LI)'!$B$109, DRIPE!$J$10:$N$10, 0), 1, 1)),"Data Missing")</f>
        <v>93.381310526331177</v>
      </c>
      <c r="D132" s="17">
        <f ca="1">IFERROR(IF(VALUE(RIGHT($B$109,2))&gt;$A132,0,AVERAGEIFS(Elec_Off_Peak, 'Avoided AC'!$D:$D, $B132, 'Avoided AC'!$E:$E, "Summer") +
        INDEX(AEPS!$S$8:$S$37, MATCH($A132, 'General Inputs'!$F$3:$F$32, 0)) +
        OFFSET(DRIPE!$I$10, MATCH('Output (non-LI)'!$B132, DRIPE!$I$11:$I$30, 0), MATCH('Output (non-LI)'!$B$109, DRIPE!$J$10:$N$10, 0), 1, 1)),"Data Missing")</f>
        <v>58.158282074954336</v>
      </c>
      <c r="E132" s="17">
        <f ca="1">IFERROR(IF(VALUE(RIGHT($B$109,2))&gt;$A132,0,AVERAGEIFS(Elec_On_Peak, 'Avoided AC'!$D:$D, $B132, 'Avoided AC'!$E:$E, "Winter") +
        INDEX(AEPS!$S$8:$S$37, MATCH($A132, 'General Inputs'!$F$3:$F$32, 0)) +
        OFFSET(DRIPE!$I$10, MATCH('Output (non-LI)'!$B132, DRIPE!$I$11:$I$30, 0), MATCH('Output (non-LI)'!$B$109, DRIPE!$J$10:$N$10, 0), 1, 1)),"Data Missing")</f>
        <v>121.6788149547281</v>
      </c>
      <c r="F132" s="17">
        <f ca="1">IFERROR(IF(VALUE(RIGHT($B$109,2))&gt;$A132,0,AVERAGEIFS(Elec_Off_Peak, 'Avoided AC'!$D:$D, $B132, 'Avoided AC'!$E:$E, "Winter") +
        INDEX(AEPS!$S$8:$S$37, MATCH($A132, 'General Inputs'!$F$3:$F$32, 0)) +
        OFFSET(DRIPE!$I$10, MATCH('Output (non-LI)'!$B132, DRIPE!$I$11:$I$30, 0), MATCH('Output (non-LI)'!$B$109, DRIPE!$J$10:$N$10, 0), 1, 1)),"Data Missing")</f>
        <v>97.762284910266814</v>
      </c>
      <c r="G132" s="17">
        <f ca="1">IFERROR(IF(VALUE(RIGHT($B$109,2))&gt;$A132,0,AVERAGEIFS(Elec_On_Peak, 'Avoided AC'!$D:$D, $B132, 'Avoided AC'!$E:$E, "Shoulder") +
        INDEX(AEPS!$S$8:$S$37, MATCH($A132, 'General Inputs'!$F$3:$F$32, 0)) +
        OFFSET(DRIPE!$I$10, MATCH('Output (non-LI)'!$B132, DRIPE!$I$11:$I$30, 0), MATCH('Output (non-LI)'!$B$109, DRIPE!$J$10:$N$10, 0), 1, 1)),"Data Missing")</f>
        <v>81.949025120226054</v>
      </c>
      <c r="H132" s="17">
        <f ca="1">IFERROR(IF(VALUE(RIGHT($B$109,2))&gt;$A132,0,AVERAGEIFS(Elec_Off_Peak, 'Avoided AC'!$D:$D, $B132, 'Avoided AC'!$E:$E, "Shoulder") +
        INDEX(AEPS!$S$8:$S$37, MATCH($A132, 'General Inputs'!$F$3:$F$32, 0)) +
        OFFSET(DRIPE!$I$10, MATCH('Output (non-LI)'!$B132, DRIPE!$I$11:$I$30, 0), MATCH('Output (non-LI)'!$B$109, DRIPE!$J$10:$N$10, 0), 1, 1)),"Data Missing")</f>
        <v>63.279161953050149</v>
      </c>
      <c r="I132" s="17">
        <f ca="1">(IF(VALUE(RIGHT($B$109,2))&gt;$A132,0,INDEX('Generation Capacity'!$E$27:$K$48,MATCH($A132,'Generation Capacity'!$B$27:$B$48,FALSE),MATCH(EDC_NAME,'Generation Capacity'!$E$26:$K$26,FALSE))+
        OFFSET(DRIPE!$B$35,MATCH('Output (non-LI)'!$B132,DRIPE!$B$11:$B$30,0),MATCH('Output (non-LI)'!$B$109,DRIPE!$C$10:$G$10,0),1,1)))</f>
        <v>37.596075464176728</v>
      </c>
      <c r="J132" s="17">
        <f ca="1">(IF(VALUE(RIGHT($B$109,2))&gt;$A132,0,INDEX('Generation Capacity'!$E$27:$K$48,MATCH($A132,'Generation Capacity'!$B$27:$B$48,FALSE),MATCH(EDC_NAME,'Generation Capacity'!$E$26:$K$26,FALSE))+
        OFFSET(DRIPE!$I$35,MATCH('Output (non-LI)'!$B132,DRIPE!$B$11:$B$30,0),MATCH('Output (non-LI)'!$B$109,DRIPE!$C$10:$G$10,0),1,1)))</f>
        <v>37.596075464176728</v>
      </c>
      <c r="K132" s="17">
        <f ca="1">IFERROR(IF(VALUE(RIGHT($B$109,2))&gt;$A132,0,INDEX('T&amp;D Capacity'!$E$4:$K$23,MATCH($A132,'T&amp;D Capacity'!$B$4:$B$23,FALSE),MATCH(EDC_NAME,'T&amp;D Capacity'!$E$3:$K$3,FALSE))),0)</f>
        <v>13.034500482237377</v>
      </c>
      <c r="L132" s="17">
        <f ca="1">IFERROR(IF(VALUE(RIGHT($B$109,2))&gt;$A132,0,INDEX('T&amp;D Capacity'!$E$28:$K$47,MATCH($A132,'T&amp;D Capacity'!$B$28:$B$47,FALSE),MATCH(EDC_NAME,'T&amp;D Capacity'!$E$27:$K$27,FALSE))),0)</f>
        <v>13.034500482237377</v>
      </c>
      <c r="M132" s="17">
        <f ca="1">IFERROR(IF(VALUE(RIGHT($B$109,2))&gt;$A132,0,INDEX('T&amp;D Capacity'!$M$4:$S$23,MATCH($A132,'T&amp;D Capacity'!$B$4:$B$23,FALSE),MATCH(EDC_NAME,'T&amp;D Capacity'!$M$3:$S$3,FALSE))),0)</f>
        <v>84.590741180640151</v>
      </c>
      <c r="N132" s="17">
        <f ca="1">IFERROR(IF(VALUE(RIGHT($B$109,2))&gt;$A132,0,INDEX('T&amp;D Capacity'!$M$28:$S$47,MATCH($A132,'T&amp;D Capacity'!$B$28:$B$47,FALSE),MATCH(EDC_NAME,'T&amp;D Capacity'!$M$27:$S$27,FALSE))),0)</f>
        <v>12.266243498749931</v>
      </c>
      <c r="O132" s="18">
        <f>IFERROR(IF(VALUE(RIGHT($B$109,2))&gt;$A132,0,IFERROR(AVERAGEIF('NG Futures'!$E:$E,$B132,'NG Futures'!$I:$I),"Data Missing")),0)</f>
        <v>5.4583218785801444</v>
      </c>
      <c r="P132" s="325"/>
    </row>
    <row r="133" spans="1:16" s="50" customFormat="1" x14ac:dyDescent="0.2"/>
    <row r="134" spans="1:16" s="50" customFormat="1" x14ac:dyDescent="0.2"/>
    <row r="135" spans="1:16" s="50" customFormat="1" x14ac:dyDescent="0.2"/>
    <row r="136" spans="1:16" s="50" customFormat="1" x14ac:dyDescent="0.2"/>
    <row r="137" spans="1:16" s="50" customFormat="1" x14ac:dyDescent="0.2"/>
    <row r="138" spans="1:16" s="50" customFormat="1" x14ac:dyDescent="0.2"/>
    <row r="139" spans="1:16" s="50" customFormat="1" x14ac:dyDescent="0.2"/>
    <row r="140" spans="1:16" s="50" customFormat="1" x14ac:dyDescent="0.2"/>
    <row r="141" spans="1:16" s="50" customFormat="1" x14ac:dyDescent="0.2"/>
    <row r="142" spans="1:16" s="50" customFormat="1" x14ac:dyDescent="0.2"/>
    <row r="143" spans="1:16" s="50" customFormat="1" x14ac:dyDescent="0.2"/>
    <row r="144" spans="1:16" s="50" customFormat="1" x14ac:dyDescent="0.2"/>
    <row r="145" s="50" customFormat="1" x14ac:dyDescent="0.2"/>
    <row r="146" s="50" customFormat="1" x14ac:dyDescent="0.2"/>
    <row r="147" s="50" customFormat="1" x14ac:dyDescent="0.2"/>
    <row r="148" s="50" customFormat="1" x14ac:dyDescent="0.2"/>
    <row r="149" s="50" customFormat="1" x14ac:dyDescent="0.2"/>
    <row r="150" s="50" customFormat="1" x14ac:dyDescent="0.2"/>
    <row r="151" s="50" customFormat="1" x14ac:dyDescent="0.2"/>
    <row r="152" s="50" customFormat="1" x14ac:dyDescent="0.2"/>
    <row r="153" s="50" customFormat="1" x14ac:dyDescent="0.2"/>
    <row r="154" s="50" customFormat="1" x14ac:dyDescent="0.2"/>
    <row r="155" s="50" customFormat="1" x14ac:dyDescent="0.2"/>
    <row r="156" s="50" customFormat="1" x14ac:dyDescent="0.2"/>
    <row r="157" s="50" customFormat="1" x14ac:dyDescent="0.2"/>
    <row r="158" s="50" customFormat="1" x14ac:dyDescent="0.2"/>
    <row r="159" s="50" customFormat="1" x14ac:dyDescent="0.2"/>
    <row r="160" s="50" customFormat="1" x14ac:dyDescent="0.2"/>
    <row r="161" s="50" customFormat="1" x14ac:dyDescent="0.2"/>
    <row r="162" s="50" customFormat="1" x14ac:dyDescent="0.2"/>
    <row r="163" s="50" customFormat="1" x14ac:dyDescent="0.2"/>
    <row r="164" s="50" customFormat="1" x14ac:dyDescent="0.2"/>
    <row r="165" s="50" customFormat="1" x14ac:dyDescent="0.2"/>
    <row r="166" s="50" customFormat="1" x14ac:dyDescent="0.2"/>
    <row r="167" s="50" customFormat="1" x14ac:dyDescent="0.2"/>
    <row r="168" s="50" customFormat="1" x14ac:dyDescent="0.2"/>
    <row r="169" s="50" customFormat="1" x14ac:dyDescent="0.2"/>
    <row r="170" s="50" customFormat="1" x14ac:dyDescent="0.2"/>
    <row r="171" s="50" customFormat="1" x14ac:dyDescent="0.2"/>
    <row r="172" s="50" customFormat="1" x14ac:dyDescent="0.2"/>
    <row r="173" s="50" customFormat="1" x14ac:dyDescent="0.2"/>
    <row r="174" s="50" customFormat="1" x14ac:dyDescent="0.2"/>
    <row r="175" s="50" customFormat="1" x14ac:dyDescent="0.2"/>
    <row r="176" s="50" customFormat="1" x14ac:dyDescent="0.2"/>
    <row r="177" s="50" customFormat="1" x14ac:dyDescent="0.2"/>
    <row r="178" s="50" customFormat="1" x14ac:dyDescent="0.2"/>
    <row r="179" s="50" customFormat="1" x14ac:dyDescent="0.2"/>
    <row r="180" s="50" customFormat="1" x14ac:dyDescent="0.2"/>
    <row r="181" s="50" customFormat="1" x14ac:dyDescent="0.2"/>
    <row r="182" s="50" customFormat="1" x14ac:dyDescent="0.2"/>
    <row r="183" s="50" customFormat="1" x14ac:dyDescent="0.2"/>
    <row r="184" s="50" customFormat="1" x14ac:dyDescent="0.2"/>
    <row r="185" s="50" customFormat="1" x14ac:dyDescent="0.2"/>
    <row r="186" s="50" customFormat="1" x14ac:dyDescent="0.2"/>
    <row r="187" s="50" customFormat="1" x14ac:dyDescent="0.2"/>
    <row r="188" s="50" customFormat="1" x14ac:dyDescent="0.2"/>
    <row r="189" s="50" customFormat="1" x14ac:dyDescent="0.2"/>
    <row r="190" s="50" customFormat="1" x14ac:dyDescent="0.2"/>
    <row r="191" s="50" customFormat="1" x14ac:dyDescent="0.2"/>
    <row r="192" s="50" customFormat="1" x14ac:dyDescent="0.2"/>
    <row r="193" s="50" customFormat="1" x14ac:dyDescent="0.2"/>
    <row r="194" s="50" customFormat="1" x14ac:dyDescent="0.2"/>
    <row r="195" s="50" customFormat="1" x14ac:dyDescent="0.2"/>
    <row r="196" s="50" customFormat="1" x14ac:dyDescent="0.2"/>
    <row r="197" s="50" customFormat="1" x14ac:dyDescent="0.2"/>
    <row r="198" s="50" customFormat="1" x14ac:dyDescent="0.2"/>
    <row r="199" s="50" customFormat="1" x14ac:dyDescent="0.2"/>
    <row r="200" s="50" customFormat="1" x14ac:dyDescent="0.2"/>
    <row r="201" s="50" customFormat="1" x14ac:dyDescent="0.2"/>
    <row r="202" s="50" customFormat="1" x14ac:dyDescent="0.2"/>
    <row r="203" s="50" customFormat="1" x14ac:dyDescent="0.2"/>
    <row r="204" s="50" customFormat="1" x14ac:dyDescent="0.2"/>
    <row r="205" s="50" customFormat="1" x14ac:dyDescent="0.2"/>
    <row r="206" s="50" customFormat="1" x14ac:dyDescent="0.2"/>
    <row r="207" s="50" customFormat="1" x14ac:dyDescent="0.2"/>
    <row r="208" s="50" customFormat="1" x14ac:dyDescent="0.2"/>
    <row r="209" s="50" customFormat="1" x14ac:dyDescent="0.2"/>
    <row r="210" s="50" customFormat="1" x14ac:dyDescent="0.2"/>
  </sheetData>
  <mergeCells count="60">
    <mergeCell ref="O84:O85"/>
    <mergeCell ref="P86:P89"/>
    <mergeCell ref="P90:P95"/>
    <mergeCell ref="P96:P105"/>
    <mergeCell ref="M57:N57"/>
    <mergeCell ref="O57:O58"/>
    <mergeCell ref="P59:P62"/>
    <mergeCell ref="P63:P68"/>
    <mergeCell ref="P69:P78"/>
    <mergeCell ref="P123:P132"/>
    <mergeCell ref="C111:D111"/>
    <mergeCell ref="E111:F111"/>
    <mergeCell ref="G111:H111"/>
    <mergeCell ref="I111:J111"/>
    <mergeCell ref="K111:L111"/>
    <mergeCell ref="M111:N111"/>
    <mergeCell ref="O111:O112"/>
    <mergeCell ref="P113:P116"/>
    <mergeCell ref="P117:P122"/>
    <mergeCell ref="C110:H110"/>
    <mergeCell ref="I110:N110"/>
    <mergeCell ref="C83:H83"/>
    <mergeCell ref="I83:N83"/>
    <mergeCell ref="C84:D84"/>
    <mergeCell ref="E84:F84"/>
    <mergeCell ref="G84:H84"/>
    <mergeCell ref="I84:J84"/>
    <mergeCell ref="K84:L84"/>
    <mergeCell ref="M84:N84"/>
    <mergeCell ref="C57:D57"/>
    <mergeCell ref="E57:F57"/>
    <mergeCell ref="G57:H57"/>
    <mergeCell ref="I57:J57"/>
    <mergeCell ref="K57:L57"/>
    <mergeCell ref="P36:P41"/>
    <mergeCell ref="P42:P51"/>
    <mergeCell ref="C56:H56"/>
    <mergeCell ref="I56:N56"/>
    <mergeCell ref="C29:H29"/>
    <mergeCell ref="I29:N29"/>
    <mergeCell ref="C30:D30"/>
    <mergeCell ref="E30:F30"/>
    <mergeCell ref="G30:H30"/>
    <mergeCell ref="I30:J30"/>
    <mergeCell ref="K30:L30"/>
    <mergeCell ref="M30:N30"/>
    <mergeCell ref="O30:O31"/>
    <mergeCell ref="P32:P35"/>
    <mergeCell ref="P5:P8"/>
    <mergeCell ref="P9:P14"/>
    <mergeCell ref="P15:P24"/>
    <mergeCell ref="M3:N3"/>
    <mergeCell ref="O3:O4"/>
    <mergeCell ref="C2:H2"/>
    <mergeCell ref="I2:N2"/>
    <mergeCell ref="C3:D3"/>
    <mergeCell ref="E3:F3"/>
    <mergeCell ref="G3:H3"/>
    <mergeCell ref="I3:J3"/>
    <mergeCell ref="K3:L3"/>
  </mergeCells>
  <phoneticPr fontId="18"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572F8D2-BBEE-4FBC-B44F-633C325D549A}">
          <x14:formula1>
            <xm:f>DRIPE!$C$10:$G$10</xm:f>
          </x14:formula1>
          <xm:sqref>B29 B56 B83 B110 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19DA7-2D69-4DA2-8949-3637E7701A51}">
  <sheetPr codeName="Sheet5"/>
  <dimension ref="A1:AZ210"/>
  <sheetViews>
    <sheetView topLeftCell="E102" zoomScale="90" zoomScaleNormal="90" workbookViewId="0">
      <selection activeCell="B5" sqref="B5"/>
    </sheetView>
  </sheetViews>
  <sheetFormatPr defaultColWidth="9.140625" defaultRowHeight="12.75" x14ac:dyDescent="0.2"/>
  <cols>
    <col min="1" max="1" width="11.140625" style="2" customWidth="1"/>
    <col min="2" max="2" width="10.85546875" style="2" customWidth="1"/>
    <col min="3" max="14" width="12.85546875" style="2" customWidth="1"/>
    <col min="15" max="15" width="13.140625" style="2" customWidth="1"/>
    <col min="16" max="16" width="16.42578125" style="2" customWidth="1"/>
    <col min="17" max="17" width="9.140625" style="50"/>
    <col min="18" max="30" width="12.85546875" style="50" customWidth="1"/>
    <col min="31" max="31" width="9.140625" style="50"/>
    <col min="32" max="32" width="18.85546875" style="50" bestFit="1" customWidth="1"/>
    <col min="33" max="33" width="18.85546875" style="50" customWidth="1"/>
    <col min="34" max="39" width="9.140625" style="50"/>
    <col min="40" max="45" width="12.140625" style="50" customWidth="1"/>
    <col min="46" max="46" width="106.85546875" style="50" bestFit="1" customWidth="1"/>
    <col min="47" max="52" width="9.140625" style="50"/>
    <col min="53" max="16384" width="9.140625" style="2"/>
  </cols>
  <sheetData>
    <row r="1" spans="1:52" ht="31.5" customHeight="1" x14ac:dyDescent="0.25">
      <c r="A1" s="26" t="s">
        <v>115</v>
      </c>
      <c r="B1" s="27" t="s">
        <v>116</v>
      </c>
      <c r="C1" s="50"/>
      <c r="D1" s="187" t="s">
        <v>134</v>
      </c>
      <c r="E1" s="50"/>
      <c r="F1" s="50"/>
      <c r="G1" s="50"/>
      <c r="H1" s="50"/>
      <c r="I1" s="50"/>
      <c r="J1" s="50"/>
      <c r="K1" s="50"/>
      <c r="L1" s="50"/>
      <c r="M1" s="50"/>
      <c r="N1" s="50"/>
      <c r="O1" s="50"/>
      <c r="P1" s="50"/>
      <c r="AF1" s="83"/>
      <c r="AG1" s="83"/>
      <c r="AH1" s="83"/>
      <c r="AI1" s="83"/>
      <c r="AJ1" s="83"/>
      <c r="AK1" s="83"/>
      <c r="AL1" s="83"/>
      <c r="AM1" s="83"/>
      <c r="AN1" s="83"/>
      <c r="AO1" s="83"/>
      <c r="AP1" s="83"/>
      <c r="AQ1" s="83"/>
      <c r="AR1" s="83"/>
      <c r="AS1" s="83"/>
      <c r="AT1" s="83"/>
    </row>
    <row r="2" spans="1:52" ht="17.25" customHeight="1" x14ac:dyDescent="0.25">
      <c r="A2" s="84"/>
      <c r="B2" s="84"/>
      <c r="C2" s="312"/>
      <c r="D2" s="312"/>
      <c r="E2" s="312"/>
      <c r="F2" s="312"/>
      <c r="G2" s="312"/>
      <c r="H2" s="312"/>
      <c r="I2" s="312"/>
      <c r="J2" s="312"/>
      <c r="K2" s="312"/>
      <c r="L2" s="312"/>
      <c r="M2" s="312"/>
      <c r="N2" s="312"/>
      <c r="O2" s="50"/>
      <c r="P2" s="50"/>
      <c r="AF2" s="83"/>
      <c r="AG2" s="83"/>
      <c r="AH2" s="83"/>
      <c r="AI2" s="83"/>
      <c r="AJ2" s="83"/>
      <c r="AK2" s="83"/>
      <c r="AL2" s="83"/>
      <c r="AM2" s="83"/>
      <c r="AN2" s="83"/>
      <c r="AO2" s="83"/>
      <c r="AP2" s="83"/>
      <c r="AQ2" s="83"/>
      <c r="AR2" s="83"/>
      <c r="AS2" s="83"/>
      <c r="AT2" s="83"/>
    </row>
    <row r="3" spans="1:52" s="1" customFormat="1" ht="47.1" customHeight="1" x14ac:dyDescent="0.25">
      <c r="A3" s="51"/>
      <c r="B3" s="51"/>
      <c r="C3" s="313" t="str">
        <f>EDC_NAME&amp;" Zone Summer ($/MWh)"</f>
        <v>West Penn Zone Summer ($/MWh)</v>
      </c>
      <c r="D3" s="313"/>
      <c r="E3" s="313" t="str">
        <f>EDC_NAME&amp;" Zone Winter ($/MWh)"</f>
        <v>West Penn Zone Winter ($/MWh)</v>
      </c>
      <c r="F3" s="313"/>
      <c r="G3" s="313" t="str">
        <f>EDC_NAME&amp;" DLC Zone Shoulder ($/MWh)"</f>
        <v>West Penn DLC Zone Shoulder ($/MWh)</v>
      </c>
      <c r="H3" s="313"/>
      <c r="I3" s="314" t="str">
        <f>EDC_NAME&amp;" Generation Capacity
($/kW/year)"</f>
        <v>West Penn Generation Capacity
($/kW/year)</v>
      </c>
      <c r="J3" s="315"/>
      <c r="K3" s="316" t="str">
        <f>EDC_NAME&amp;" Transmission Capacity
($/kW/year)"</f>
        <v>West Penn Transmission Capacity
($/kW/year)</v>
      </c>
      <c r="L3" s="316"/>
      <c r="M3" s="316" t="str">
        <f>EDC_NAME&amp;" Distribution Capacity
($/kW/year)"</f>
        <v>West Penn Distribution Capacity
($/kW/year)</v>
      </c>
      <c r="N3" s="316"/>
      <c r="O3" s="326" t="s">
        <v>118</v>
      </c>
      <c r="P3" s="51"/>
      <c r="Q3" s="51"/>
      <c r="R3" s="51"/>
      <c r="S3" s="51"/>
      <c r="T3" s="51"/>
      <c r="U3" s="51"/>
      <c r="V3" s="51"/>
      <c r="W3" s="51"/>
      <c r="X3" s="51"/>
      <c r="Y3" s="51"/>
      <c r="Z3" s="51"/>
      <c r="AA3" s="51"/>
      <c r="AB3" s="51"/>
      <c r="AC3" s="51"/>
      <c r="AD3" s="51"/>
      <c r="AE3" s="51"/>
      <c r="AF3" s="83"/>
      <c r="AG3" s="83"/>
      <c r="AH3" s="83"/>
      <c r="AI3" s="83"/>
      <c r="AJ3" s="83"/>
      <c r="AK3" s="83"/>
      <c r="AL3" s="83"/>
      <c r="AM3" s="83"/>
      <c r="AN3" s="83"/>
      <c r="AO3" s="83"/>
      <c r="AP3" s="83"/>
      <c r="AQ3" s="83"/>
      <c r="AR3" s="83"/>
      <c r="AS3" s="83"/>
      <c r="AT3" s="83"/>
      <c r="AU3" s="51"/>
      <c r="AV3" s="51"/>
      <c r="AW3" s="51"/>
      <c r="AX3" s="51"/>
      <c r="AY3" s="51"/>
      <c r="AZ3" s="51"/>
    </row>
    <row r="4" spans="1:52" ht="50.1" customHeight="1" x14ac:dyDescent="0.25">
      <c r="A4" s="116" t="s">
        <v>119</v>
      </c>
      <c r="B4" s="116" t="s">
        <v>120</v>
      </c>
      <c r="C4" s="118" t="s">
        <v>121</v>
      </c>
      <c r="D4" s="118" t="s">
        <v>122</v>
      </c>
      <c r="E4" s="118" t="s">
        <v>123</v>
      </c>
      <c r="F4" s="118" t="s">
        <v>124</v>
      </c>
      <c r="G4" s="118" t="s">
        <v>125</v>
      </c>
      <c r="H4" s="118" t="s">
        <v>126</v>
      </c>
      <c r="I4" s="284" t="s">
        <v>107</v>
      </c>
      <c r="J4" s="284" t="s">
        <v>101</v>
      </c>
      <c r="K4" s="284" t="s">
        <v>107</v>
      </c>
      <c r="L4" s="284" t="s">
        <v>101</v>
      </c>
      <c r="M4" s="284" t="s">
        <v>107</v>
      </c>
      <c r="N4" s="284" t="s">
        <v>101</v>
      </c>
      <c r="O4" s="327"/>
      <c r="P4" s="50"/>
      <c r="AF4" s="83"/>
      <c r="AG4" s="83"/>
      <c r="AH4" s="83"/>
      <c r="AI4" s="83"/>
      <c r="AJ4" s="83"/>
      <c r="AK4" s="83"/>
      <c r="AL4" s="83"/>
      <c r="AM4" s="83"/>
      <c r="AN4" s="83"/>
      <c r="AO4" s="83"/>
      <c r="AP4" s="83"/>
      <c r="AQ4" s="83"/>
      <c r="AR4" s="83"/>
      <c r="AS4" s="83"/>
      <c r="AT4" s="83"/>
    </row>
    <row r="5" spans="1:52" ht="15" customHeight="1" x14ac:dyDescent="0.25">
      <c r="A5" s="123">
        <v>18</v>
      </c>
      <c r="B5" s="124">
        <f>Start_Year</f>
        <v>2027</v>
      </c>
      <c r="C5" s="119">
        <f ca="1">IFERROR(IF(VALUE(RIGHT($B$1,2))&gt;$A5,0,AVERAGEIFS(Elec_On_Peak, 'Avoided AC'!$D:$D, $B5, 'Avoided AC'!$E:$E, "Summer") +
        INDEX(AEPS!$S$8:$S$37, MATCH($A5, 'General Inputs'!$F$3:$F$32, 0)) +
        OFFSET(DRIPE!$I$10, MATCH('LI Output'!$B5, DRIPE!$I$11:$I$30, 0), MATCH('LI Output'!$B$1, DRIPE!$J$10:$N$10, 0), 1, 1) +
        INDEX(Arrearages!C$5:J$24, MATCH($A5, Arrearages!$B$5:$B$24, 0), MATCH('General Inputs'!$C$2, Arrearages!$C$4:$J$4, 0))),"Data Missing")</f>
        <v>105.74626504495905</v>
      </c>
      <c r="D5" s="117">
        <f ca="1">IFERROR(IF(VALUE(RIGHT($B$1,2))&gt;$A5,0,AVERAGEIFS(Elec_Off_Peak, 'Avoided AC'!$D:$D, $B5, 'Avoided AC'!$E:$E, "Summer") +
        INDEX(AEPS!$S$8:$S$37, MATCH($A5, 'General Inputs'!$F$3:$F$32, 0)) +
        OFFSET(DRIPE!$I$10, MATCH('LI Output'!$B5, DRIPE!$I$11:$I$30, 0), MATCH('LI Output'!$B$1, DRIPE!$J$10:$N$10, 0), 1, 1) +
        INDEX(Arrearages!C$5:J$24, MATCH($A5, Arrearages!$B$5:$B$24, 0), MATCH('General Inputs'!$C$2, Arrearages!$C$4:$J$4, 0))),"Data Missing")</f>
        <v>75.962689418295071</v>
      </c>
      <c r="E5" s="117">
        <f ca="1">IFERROR(IF(VALUE(RIGHT($B$1,2))&gt;$A5,0,AVERAGEIFS(Elec_On_Peak, 'Avoided AC'!$D:$D, $B5, 'Avoided AC'!$E:$E, "Winter") +
        INDEX(AEPS!$S$8:$S$37, MATCH($A5, 'General Inputs'!$F$3:$F$32, 0)) +
        OFFSET(DRIPE!$I$10, MATCH('LI Output'!$B5, DRIPE!$I$11:$I$30, 0), MATCH('LI Output'!$B$1, DRIPE!$J$10:$N$10, 0), 1, 1) +
        INDEX(Arrearages!C$5:J$24, MATCH($A5, Arrearages!$B$5:$B$24, 0), MATCH('General Inputs'!$C$2, Arrearages!$C$4:$J$4, 0))),"Data Missing")</f>
        <v>110.02825982066608</v>
      </c>
      <c r="F5" s="117">
        <f ca="1">IFERROR(IF(VALUE(RIGHT($B$1,2))&gt;$A5,0,AVERAGEIFS(Elec_Off_Peak, 'Avoided AC'!$D:$D, $B5, 'Avoided AC'!$E:$E, "Winter") +
        INDEX(AEPS!$S$8:$S$37, MATCH($A5, 'General Inputs'!$F$3:$F$32, 0)) +
        OFFSET(DRIPE!$I$10, MATCH('LI Output'!$B5, DRIPE!$I$11:$I$30, 0), MATCH('LI Output'!$B$1, DRIPE!$J$10:$N$10, 0), 1, 1) +
        INDEX(Arrearages!C$5:J$24, MATCH($A5, Arrearages!$B$5:$B$24, 0), MATCH('General Inputs'!$C$2, Arrearages!$C$4:$J$4, 0))),"Data Missing")</f>
        <v>98.051136195810528</v>
      </c>
      <c r="G5" s="117">
        <f ca="1">IFERROR(IF(VALUE(RIGHT($B$1,2))&gt;$A5,0,AVERAGEIFS(Elec_On_Peak, 'Avoided AC'!$D:$D, $B5, 'Avoided AC'!$E:$E, "Shoulder") +
        INDEX(AEPS!$S$8:$S$37, MATCH($A5, 'General Inputs'!$F$3:$F$32, 0)) +
        OFFSET(DRIPE!$I$10, MATCH('LI Output'!$B5, DRIPE!$I$11:$I$30, 0), MATCH('LI Output'!$B$1, DRIPE!$J$10:$N$10, 0), 1, 1) +
        INDEX(Arrearages!C$5:J$24, MATCH($A5, Arrearages!$B$5:$B$24, 0), MATCH('General Inputs'!$C$2, Arrearages!$C$4:$J$4, 0))),"Data Missing")</f>
        <v>92.222673217963518</v>
      </c>
      <c r="H5" s="117">
        <f ca="1">IFERROR(IF(VALUE(RIGHT($B$1,2))&gt;$A5,0,AVERAGEIFS(Elec_Off_Peak, 'Avoided AC'!$D:$D, $B5, 'Avoided AC'!$E:$E, "Shoulder") +
        INDEX(AEPS!$S$8:$S$37, MATCH($A5, 'General Inputs'!$F$3:$F$32, 0)) +
        OFFSET(DRIPE!$I$10, MATCH('LI Output'!$B5, DRIPE!$I$11:$I$30, 0), MATCH('LI Output'!$B$1, DRIPE!$J$10:$N$10, 0), 1, 1) +
        INDEX(Arrearages!C$5:J$24, MATCH($A5, Arrearages!$B$5:$B$24, 0), MATCH('General Inputs'!$C$2, Arrearages!$C$4:$J$4, 0))),"Data Missing")</f>
        <v>79.709002147485819</v>
      </c>
      <c r="I5" s="117">
        <f ca="1">(IF(VALUE(RIGHT($B$1,2))&gt;$A5,0,INDEX('Generation Capacity'!$E$27:$K$48,MATCH($A5,'Generation Capacity'!$B$27:$B$48,FALSE),MATCH(EDC_NAME,'Generation Capacity'!$E$26:$K$26,FALSE))+
        OFFSET(DRIPE!$B$35,MATCH('LI Output'!$B5,DRIPE!$B$11:$B$30,0),MATCH('LI Output'!$B$1,DRIPE!$C$10:$G$10,0),1,1)))</f>
        <v>72.593525</v>
      </c>
      <c r="J5" s="117">
        <f ca="1">(IF(VALUE(RIGHT($B$1,2))&gt;$A5,0,INDEX('Generation Capacity'!$E$27:$K$48,MATCH($A5,'Generation Capacity'!$B$27:$B$48,FALSE),MATCH(EDC_NAME,'Generation Capacity'!$E$26:$K$26,FALSE))+
        OFFSET(DRIPE!$I$35,MATCH('LI Output'!$B5,DRIPE!$B$11:$B$30,0),MATCH('LI Output'!$B$1,DRIPE!$C$10:$G$10,0),1,1)))</f>
        <v>72.593525</v>
      </c>
      <c r="K5" s="117">
        <f>IFERROR(IF(VALUE(RIGHT($B$1,2))&gt;$A5,0,INDEX('T&amp;D Capacity'!$E$4:$K$23,MATCH($A5,'T&amp;D Capacity'!$B$4:$B$23,FALSE),MATCH(EDC_NAME,'T&amp;D Capacity'!$E$3:$K$3,FALSE))),0)</f>
        <v>8.8288765216760154</v>
      </c>
      <c r="L5" s="117">
        <f>IFERROR(IF(VALUE(RIGHT($B$1,2))&gt;$A5,0,INDEX('T&amp;D Capacity'!$E$28:$K$47,MATCH($A5,'T&amp;D Capacity'!$B$28:$B$47,FALSE),MATCH(EDC_NAME,'T&amp;D Capacity'!$E$27:$K$27,FALSE))),0)</f>
        <v>8.8288765216760154</v>
      </c>
      <c r="M5" s="117">
        <f>IFERROR(IF(VALUE(RIGHT($B$1,2))&gt;$A5,0,INDEX('T&amp;D Capacity'!$M$4:$S$23,MATCH($A5,'T&amp;D Capacity'!$B$4:$B$23,FALSE),MATCH(EDC_NAME,'T&amp;D Capacity'!$M$3:$S$3,FALSE))),0)</f>
        <v>41.24516749382019</v>
      </c>
      <c r="N5" s="117">
        <f>IFERROR(IF(VALUE(RIGHT($B$1,2))&gt;$A5,0,INDEX('T&amp;D Capacity'!$M$28:$S$47,MATCH($A5,'T&amp;D Capacity'!$B$28:$B$47,FALSE),MATCH(EDC_NAME,'T&amp;D Capacity'!$M$27:$S$27,FALSE))),0)</f>
        <v>5.0498091280460358</v>
      </c>
      <c r="O5" s="57">
        <f>IFERROR(IF(VALUE(RIGHT($B$1,2))&gt;$A5,0,IFERROR(AVERAGEIF('NG Futures'!$E:$E,$B5,'NG Futures'!$I:$I),"Data Missing")),0)</f>
        <v>3.7537500000000006</v>
      </c>
      <c r="P5" s="317" t="s">
        <v>127</v>
      </c>
      <c r="Q5" s="65"/>
      <c r="AF5" s="83"/>
      <c r="AG5" s="83"/>
      <c r="AH5" s="83"/>
      <c r="AI5" s="83"/>
      <c r="AJ5" s="83"/>
      <c r="AK5" s="83"/>
      <c r="AL5" s="83"/>
      <c r="AM5" s="83"/>
      <c r="AN5" s="83"/>
      <c r="AO5" s="83"/>
      <c r="AP5" s="83"/>
      <c r="AQ5" s="83"/>
      <c r="AR5" s="83"/>
      <c r="AS5" s="83"/>
      <c r="AT5" s="83"/>
    </row>
    <row r="6" spans="1:52" ht="15" customHeight="1" x14ac:dyDescent="0.25">
      <c r="A6" s="124">
        <f>A5+1</f>
        <v>19</v>
      </c>
      <c r="B6" s="124">
        <f>B5+1</f>
        <v>2028</v>
      </c>
      <c r="C6" s="120">
        <f ca="1">IFERROR(IF(VALUE(RIGHT($B$1,2))&gt;$A6,0,AVERAGEIFS(Elec_On_Peak, 'Avoided AC'!$D:$D, $B6, 'Avoided AC'!$E:$E, "Summer") +
        INDEX(AEPS!$S$8:$S$37, MATCH($A6, 'General Inputs'!$F$3:$F$32, 0)) +
        OFFSET(DRIPE!$I$10, MATCH('LI Output'!$B6, DRIPE!$I$11:$I$30, 0), MATCH('LI Output'!$B$1, DRIPE!$J$10:$N$10, 0), 1, 1) +
        INDEX(Arrearages!C$5:J$24, MATCH($A6, Arrearages!$B$5:$B$24, 0), MATCH('General Inputs'!$C$2, Arrearages!$C$4:$J$4, 0))),"Data Missing")</f>
        <v>115.7467477075903</v>
      </c>
      <c r="D6" s="14">
        <f ca="1">IFERROR(IF(VALUE(RIGHT($B$1,2))&gt;$A6,0,AVERAGEIFS(Elec_Off_Peak, 'Avoided AC'!$D:$D, $B6, 'Avoided AC'!$E:$E, "Summer") +
        INDEX(AEPS!$S$8:$S$37, MATCH($A6, 'General Inputs'!$F$3:$F$32, 0)) +
        OFFSET(DRIPE!$I$10, MATCH('LI Output'!$B6, DRIPE!$I$11:$I$30, 0), MATCH('LI Output'!$B$1, DRIPE!$J$10:$N$10, 0), 1, 1) +
        INDEX(Arrearages!C$5:J$24, MATCH($A6, Arrearages!$B$5:$B$24, 0), MATCH('General Inputs'!$C$2, Arrearages!$C$4:$J$4, 0))),"Data Missing")</f>
        <v>84.093910012307234</v>
      </c>
      <c r="E6" s="14">
        <f ca="1">IFERROR(IF(VALUE(RIGHT($B$1,2))&gt;$A6,0,AVERAGEIFS(Elec_On_Peak, 'Avoided AC'!$D:$D, $B6, 'Avoided AC'!$E:$E, "Winter") +
        INDEX(AEPS!$S$8:$S$37, MATCH($A6, 'General Inputs'!$F$3:$F$32, 0)) +
        OFFSET(DRIPE!$I$10, MATCH('LI Output'!$B6, DRIPE!$I$11:$I$30, 0), MATCH('LI Output'!$B$1, DRIPE!$J$10:$N$10, 0), 1, 1) +
        INDEX(Arrearages!C$5:J$24, MATCH($A6, Arrearages!$B$5:$B$24, 0), MATCH('General Inputs'!$C$2, Arrearages!$C$4:$J$4, 0))),"Data Missing")</f>
        <v>123.27225833199377</v>
      </c>
      <c r="F6" s="14">
        <f ca="1">IFERROR(IF(VALUE(RIGHT($B$1,2))&gt;$A6,0,AVERAGEIFS(Elec_Off_Peak, 'Avoided AC'!$D:$D, $B6, 'Avoided AC'!$E:$E, "Winter") +
        INDEX(AEPS!$S$8:$S$37, MATCH($A6, 'General Inputs'!$F$3:$F$32, 0)) +
        OFFSET(DRIPE!$I$10, MATCH('LI Output'!$B6, DRIPE!$I$11:$I$30, 0), MATCH('LI Output'!$B$1, DRIPE!$J$10:$N$10, 0), 1, 1) +
        INDEX(Arrearages!C$5:J$24, MATCH($A6, Arrearages!$B$5:$B$24, 0), MATCH('General Inputs'!$C$2, Arrearages!$C$4:$J$4, 0))),"Data Missing")</f>
        <v>110.58550744034763</v>
      </c>
      <c r="G6" s="14">
        <f ca="1">IFERROR(IF(VALUE(RIGHT($B$1,2))&gt;$A6,0,AVERAGEIFS(Elec_On_Peak, 'Avoided AC'!$D:$D, $B6, 'Avoided AC'!$E:$E, "Shoulder") +
        INDEX(AEPS!$S$8:$S$37, MATCH($A6, 'General Inputs'!$F$3:$F$32, 0)) +
        OFFSET(DRIPE!$I$10, MATCH('LI Output'!$B6, DRIPE!$I$11:$I$30, 0), MATCH('LI Output'!$B$1, DRIPE!$J$10:$N$10, 0), 1, 1) +
        INDEX(Arrearages!C$5:J$24, MATCH($A6, Arrearages!$B$5:$B$24, 0), MATCH('General Inputs'!$C$2, Arrearages!$C$4:$J$4, 0))),"Data Missing")</f>
        <v>101.61564570829356</v>
      </c>
      <c r="H6" s="14">
        <f ca="1">IFERROR(IF(VALUE(RIGHT($B$1,2))&gt;$A6,0,AVERAGEIFS(Elec_Off_Peak, 'Avoided AC'!$D:$D, $B6, 'Avoided AC'!$E:$E, "Shoulder") +
        INDEX(AEPS!$S$8:$S$37, MATCH($A6, 'General Inputs'!$F$3:$F$32, 0)) +
        OFFSET(DRIPE!$I$10, MATCH('LI Output'!$B6, DRIPE!$I$11:$I$30, 0), MATCH('LI Output'!$B$1, DRIPE!$J$10:$N$10, 0), 1, 1) +
        INDEX(Arrearages!C$5:J$24, MATCH($A6, Arrearages!$B$5:$B$24, 0), MATCH('General Inputs'!$C$2, Arrearages!$C$4:$J$4, 0))),"Data Missing")</f>
        <v>89.076012664640572</v>
      </c>
      <c r="I6" s="14">
        <f ca="1">(IF(VALUE(RIGHT($B$1,2))&gt;$A6,0,INDEX('Generation Capacity'!$E$27:$K$48,MATCH($A6,'Generation Capacity'!$B$27:$B$48,FALSE),MATCH(EDC_NAME,'Generation Capacity'!$E$26:$K$26,FALSE))+
        OFFSET(DRIPE!$B$35,MATCH('LI Output'!$B6,DRIPE!$B$11:$B$30,0),MATCH('LI Output'!$B$1,DRIPE!$C$10:$G$10,0),1,1)))</f>
        <v>38.763109999999998</v>
      </c>
      <c r="J6" s="14">
        <f ca="1">(IF(VALUE(RIGHT($B$1,2))&gt;$A6,0,INDEX('Generation Capacity'!$E$27:$K$48,MATCH($A6,'Generation Capacity'!$B$27:$B$48,FALSE),MATCH(EDC_NAME,'Generation Capacity'!$E$26:$K$26,FALSE))+
        OFFSET(DRIPE!$I$35,MATCH('LI Output'!$B6,DRIPE!$B$11:$B$30,0),MATCH('LI Output'!$B$1,DRIPE!$C$10:$G$10,0),1,1)))</f>
        <v>38.763109999999998</v>
      </c>
      <c r="K6" s="14">
        <f ca="1">IFERROR(IF(VALUE(RIGHT($B$1,2))&gt;$A6,0,INDEX('T&amp;D Capacity'!$E$4:$K$23,MATCH($A6,'T&amp;D Capacity'!$B$4:$B$23,FALSE),MATCH(EDC_NAME,'T&amp;D Capacity'!$E$3:$K$3,FALSE))),0)</f>
        <v>9.0117705278222537</v>
      </c>
      <c r="L6" s="14">
        <f ca="1">IFERROR(IF(VALUE(RIGHT($B$1,2))&gt;$A6,0,INDEX('T&amp;D Capacity'!$E$28:$K$47,MATCH($A6,'T&amp;D Capacity'!$B$28:$B$47,FALSE),MATCH(EDC_NAME,'T&amp;D Capacity'!$E$27:$K$27,FALSE))),0)</f>
        <v>9.0117705278222537</v>
      </c>
      <c r="M6" s="14">
        <f>IFERROR(IF(VALUE(RIGHT($B$1,2))&gt;$A6,0,INDEX('T&amp;D Capacity'!$M$4:$S$23,MATCH($A6,'T&amp;D Capacity'!$B$4:$B$23,FALSE),MATCH(EDC_NAME,'T&amp;D Capacity'!$M$3:$S$3,FALSE))),0)</f>
        <v>46.265887528657913</v>
      </c>
      <c r="N6" s="14">
        <f>IFERROR(IF(VALUE(RIGHT($B$1,2))&gt;$A6,0,INDEX('T&amp;D Capacity'!$M$28:$S$47,MATCH($A6,'T&amp;D Capacity'!$B$28:$B$47,FALSE),MATCH(EDC_NAME,'T&amp;D Capacity'!$M$27:$S$27,FALSE))),0)</f>
        <v>6.0599454417824745</v>
      </c>
      <c r="O6" s="57">
        <f>IFERROR(IF(VALUE(RIGHT($B$1,2))&gt;$A6,0,IFERROR(AVERAGEIF('NG Futures'!$E:$E,$B6,'NG Futures'!$I:$I),"Data Missing")),0)</f>
        <v>3.6780000000000008</v>
      </c>
      <c r="P6" s="318"/>
      <c r="Q6" s="65"/>
      <c r="AF6" s="83"/>
      <c r="AG6" s="83"/>
      <c r="AH6" s="83"/>
      <c r="AI6" s="83"/>
      <c r="AJ6" s="83"/>
      <c r="AK6" s="83"/>
      <c r="AL6" s="83"/>
      <c r="AM6" s="83"/>
      <c r="AN6" s="83"/>
      <c r="AO6" s="83"/>
      <c r="AP6" s="83"/>
      <c r="AQ6" s="83"/>
      <c r="AR6" s="83"/>
      <c r="AS6" s="83"/>
      <c r="AT6" s="83"/>
    </row>
    <row r="7" spans="1:52" ht="15" customHeight="1" x14ac:dyDescent="0.25">
      <c r="A7" s="124">
        <f t="shared" ref="A7:B22" si="0">A6+1</f>
        <v>20</v>
      </c>
      <c r="B7" s="124">
        <f t="shared" si="0"/>
        <v>2029</v>
      </c>
      <c r="C7" s="120">
        <f ca="1">IFERROR(IF(VALUE(RIGHT($B$1,2))&gt;$A7,0,AVERAGEIFS(Elec_On_Peak, 'Avoided AC'!$D:$D, $B7, 'Avoided AC'!$E:$E, "Summer") +
        INDEX(AEPS!$S$8:$S$37, MATCH($A7, 'General Inputs'!$F$3:$F$32, 0)) +
        OFFSET(DRIPE!$I$10, MATCH('LI Output'!$B7, DRIPE!$I$11:$I$30, 0), MATCH('LI Output'!$B$1, DRIPE!$J$10:$N$10, 0), 1, 1) +
        INDEX(Arrearages!C$5:J$24, MATCH($A7, Arrearages!$B$5:$B$24, 0), MATCH('General Inputs'!$C$2, Arrearages!$C$4:$J$4, 0))),"Data Missing")</f>
        <v>123.18528223977997</v>
      </c>
      <c r="D7" s="14">
        <f ca="1">IFERROR(IF(VALUE(RIGHT($B$1,2))&gt;$A7,0,AVERAGEIFS(Elec_Off_Peak, 'Avoided AC'!$D:$D, $B7, 'Avoided AC'!$E:$E, "Summer") +
        INDEX(AEPS!$S$8:$S$37, MATCH($A7, 'General Inputs'!$F$3:$F$32, 0)) +
        OFFSET(DRIPE!$I$10, MATCH('LI Output'!$B7, DRIPE!$I$11:$I$30, 0), MATCH('LI Output'!$B$1, DRIPE!$J$10:$N$10, 0), 1, 1) +
        INDEX(Arrearages!C$5:J$24, MATCH($A7, Arrearages!$B$5:$B$24, 0), MATCH('General Inputs'!$C$2, Arrearages!$C$4:$J$4, 0))),"Data Missing")</f>
        <v>92.404766843185811</v>
      </c>
      <c r="E7" s="14">
        <f ca="1">IFERROR(IF(VALUE(RIGHT($B$1,2))&gt;$A7,0,AVERAGEIFS(Elec_On_Peak, 'Avoided AC'!$D:$D, $B7, 'Avoided AC'!$E:$E, "Winter") +
        INDEX(AEPS!$S$8:$S$37, MATCH($A7, 'General Inputs'!$F$3:$F$32, 0)) +
        OFFSET(DRIPE!$I$10, MATCH('LI Output'!$B7, DRIPE!$I$11:$I$30, 0), MATCH('LI Output'!$B$1, DRIPE!$J$10:$N$10, 0), 1, 1) +
        INDEX(Arrearages!C$5:J$24, MATCH($A7, Arrearages!$B$5:$B$24, 0), MATCH('General Inputs'!$C$2, Arrearages!$C$4:$J$4, 0))),"Data Missing")</f>
        <v>132.14389378345808</v>
      </c>
      <c r="F7" s="14">
        <f ca="1">IFERROR(IF(VALUE(RIGHT($B$1,2))&gt;$A7,0,AVERAGEIFS(Elec_Off_Peak, 'Avoided AC'!$D:$D, $B7, 'Avoided AC'!$E:$E, "Winter") +
        INDEX(AEPS!$S$8:$S$37, MATCH($A7, 'General Inputs'!$F$3:$F$32, 0)) +
        OFFSET(DRIPE!$I$10, MATCH('LI Output'!$B7, DRIPE!$I$11:$I$30, 0), MATCH('LI Output'!$B$1, DRIPE!$J$10:$N$10, 0), 1, 1) +
        INDEX(Arrearages!C$5:J$24, MATCH($A7, Arrearages!$B$5:$B$24, 0), MATCH('General Inputs'!$C$2, Arrearages!$C$4:$J$4, 0))),"Data Missing")</f>
        <v>118.6436677323203</v>
      </c>
      <c r="G7" s="14">
        <f ca="1">IFERROR(IF(VALUE(RIGHT($B$1,2))&gt;$A7,0,AVERAGEIFS(Elec_On_Peak, 'Avoided AC'!$D:$D, $B7, 'Avoided AC'!$E:$E, "Shoulder") +
        INDEX(AEPS!$S$8:$S$37, MATCH($A7, 'General Inputs'!$F$3:$F$32, 0)) +
        OFFSET(DRIPE!$I$10, MATCH('LI Output'!$B7, DRIPE!$I$11:$I$30, 0), MATCH('LI Output'!$B$1, DRIPE!$J$10:$N$10, 0), 1, 1) +
        INDEX(Arrearages!C$5:J$24, MATCH($A7, Arrearages!$B$5:$B$24, 0), MATCH('General Inputs'!$C$2, Arrearages!$C$4:$J$4, 0))),"Data Missing")</f>
        <v>108.59205711796353</v>
      </c>
      <c r="H7" s="14">
        <f ca="1">IFERROR(IF(VALUE(RIGHT($B$1,2))&gt;$A7,0,AVERAGEIFS(Elec_Off_Peak, 'Avoided AC'!$D:$D, $B7, 'Avoided AC'!$E:$E, "Shoulder") +
        INDEX(AEPS!$S$8:$S$37, MATCH($A7, 'General Inputs'!$F$3:$F$32, 0)) +
        OFFSET(DRIPE!$I$10, MATCH('LI Output'!$B7, DRIPE!$I$11:$I$30, 0), MATCH('LI Output'!$B$1, DRIPE!$J$10:$N$10, 0), 1, 1) +
        INDEX(Arrearages!C$5:J$24, MATCH($A7, Arrearages!$B$5:$B$24, 0), MATCH('General Inputs'!$C$2, Arrearages!$C$4:$J$4, 0))),"Data Missing")</f>
        <v>95.01394514729995</v>
      </c>
      <c r="I7" s="14">
        <f ca="1">(IF(VALUE(RIGHT($B$1,2))&gt;$A7,0,INDEX('Generation Capacity'!$E$27:$K$48,MATCH($A7,'Generation Capacity'!$B$27:$B$48,FALSE),MATCH(EDC_NAME,'Generation Capacity'!$E$26:$K$26,FALSE))+
        OFFSET(DRIPE!$B$35,MATCH('LI Output'!$B7,DRIPE!$B$11:$B$30,0),MATCH('LI Output'!$B$1,DRIPE!$C$10:$G$10,0),1,1)))</f>
        <v>39.556568546614422</v>
      </c>
      <c r="J7" s="14">
        <f ca="1">(IF(VALUE(RIGHT($B$1,2))&gt;$A7,0,INDEX('Generation Capacity'!$E$27:$K$48,MATCH($A7,'Generation Capacity'!$B$27:$B$48,FALSE),MATCH(EDC_NAME,'Generation Capacity'!$E$26:$K$26,FALSE))+
        OFFSET(DRIPE!$I$35,MATCH('LI Output'!$B7,DRIPE!$B$11:$B$30,0),MATCH('LI Output'!$B$1,DRIPE!$C$10:$G$10,0),1,1)))</f>
        <v>39.556568546614422</v>
      </c>
      <c r="K7" s="14">
        <f ca="1">IFERROR(IF(VALUE(RIGHT($B$1,2))&gt;$A7,0,INDEX('T&amp;D Capacity'!$E$4:$K$23,MATCH($A7,'T&amp;D Capacity'!$B$4:$B$23,FALSE),MATCH(EDC_NAME,'T&amp;D Capacity'!$E$3:$K$3,FALSE))),0)</f>
        <v>9.1984532626252022</v>
      </c>
      <c r="L7" s="14">
        <f ca="1">IFERROR(IF(VALUE(RIGHT($B$1,2))&gt;$A7,0,INDEX('T&amp;D Capacity'!$E$28:$K$47,MATCH($A7,'T&amp;D Capacity'!$B$28:$B$47,FALSE),MATCH(EDC_NAME,'T&amp;D Capacity'!$E$27:$K$27,FALSE))),0)</f>
        <v>9.1984532626252022</v>
      </c>
      <c r="M7" s="14">
        <f>IFERROR(IF(VALUE(RIGHT($B$1,2))&gt;$A7,0,INDEX('T&amp;D Capacity'!$M$4:$S$23,MATCH($A7,'T&amp;D Capacity'!$B$4:$B$23,FALSE),MATCH(EDC_NAME,'T&amp;D Capacity'!$M$3:$S$3,FALSE))),0)</f>
        <v>51.885319620370865</v>
      </c>
      <c r="N7" s="14">
        <f>IFERROR(IF(VALUE(RIGHT($B$1,2))&gt;$A7,0,INDEX('T&amp;D Capacity'!$M$28:$S$47,MATCH($A7,'T&amp;D Capacity'!$B$28:$B$47,FALSE),MATCH(EDC_NAME,'T&amp;D Capacity'!$M$27:$S$27,FALSE))),0)</f>
        <v>7.0145137757062912</v>
      </c>
      <c r="O7" s="57">
        <f>IFERROR(IF(VALUE(RIGHT($B$1,2))&gt;$A7,0,IFERROR(AVERAGEIF('NG Futures'!$E:$E,$B7,'NG Futures'!$I:$I),"Data Missing")),0)</f>
        <v>3.5623333333333331</v>
      </c>
      <c r="P7" s="318"/>
      <c r="Q7" s="65"/>
      <c r="AF7" s="83"/>
      <c r="AG7" s="83"/>
      <c r="AH7" s="83"/>
      <c r="AI7" s="83"/>
      <c r="AJ7" s="83"/>
      <c r="AK7" s="83"/>
      <c r="AL7" s="83"/>
      <c r="AM7" s="83"/>
      <c r="AN7" s="83"/>
      <c r="AO7" s="83"/>
      <c r="AP7" s="83"/>
      <c r="AQ7" s="83"/>
      <c r="AR7" s="83"/>
      <c r="AS7" s="83"/>
      <c r="AT7" s="83"/>
    </row>
    <row r="8" spans="1:52" ht="15" customHeight="1" x14ac:dyDescent="0.25">
      <c r="A8" s="124">
        <f t="shared" si="0"/>
        <v>21</v>
      </c>
      <c r="B8" s="124">
        <f t="shared" si="0"/>
        <v>2030</v>
      </c>
      <c r="C8" s="120">
        <f ca="1">IFERROR(IF(VALUE(RIGHT($B$1,2))&gt;$A8,0,AVERAGEIFS(Elec_On_Peak, 'Avoided AC'!$D:$D, $B8, 'Avoided AC'!$E:$E, "Summer") +
        INDEX(AEPS!$S$8:$S$37, MATCH($A8, 'General Inputs'!$F$3:$F$32, 0)) +
        OFFSET(DRIPE!$I$10, MATCH('LI Output'!$B8, DRIPE!$I$11:$I$30, 0), MATCH('LI Output'!$B$1, DRIPE!$J$10:$N$10, 0), 1, 1) +
        INDEX(Arrearages!C$5:J$24, MATCH($A8, Arrearages!$B$5:$B$24, 0), MATCH('General Inputs'!$C$2, Arrearages!$C$4:$J$4, 0))),"Data Missing")</f>
        <v>121.28783583755694</v>
      </c>
      <c r="D8" s="14">
        <f ca="1">IFERROR(IF(VALUE(RIGHT($B$1,2))&gt;$A8,0,AVERAGEIFS(Elec_Off_Peak, 'Avoided AC'!$D:$D, $B8, 'Avoided AC'!$E:$E, "Summer") +
        INDEX(AEPS!$S$8:$S$37, MATCH($A8, 'General Inputs'!$F$3:$F$32, 0)) +
        OFFSET(DRIPE!$I$10, MATCH('LI Output'!$B8, DRIPE!$I$11:$I$30, 0), MATCH('LI Output'!$B$1, DRIPE!$J$10:$N$10, 0), 1, 1) +
        INDEX(Arrearages!C$5:J$24, MATCH($A8, Arrearages!$B$5:$B$24, 0), MATCH('General Inputs'!$C$2, Arrearages!$C$4:$J$4, 0))),"Data Missing")</f>
        <v>92.48043040228292</v>
      </c>
      <c r="E8" s="14">
        <f ca="1">IFERROR(IF(VALUE(RIGHT($B$1,2))&gt;$A8,0,AVERAGEIFS(Elec_On_Peak, 'Avoided AC'!$D:$D, $B8, 'Avoided AC'!$E:$E, "Winter") +
        INDEX(AEPS!$S$8:$S$37, MATCH($A8, 'General Inputs'!$F$3:$F$32, 0)) +
        OFFSET(DRIPE!$I$10, MATCH('LI Output'!$B8, DRIPE!$I$11:$I$30, 0), MATCH('LI Output'!$B$1, DRIPE!$J$10:$N$10, 0), 1, 1) +
        INDEX(Arrearages!C$5:J$24, MATCH($A8, Arrearages!$B$5:$B$24, 0), MATCH('General Inputs'!$C$2, Arrearages!$C$4:$J$4, 0))),"Data Missing")</f>
        <v>133.11611081620765</v>
      </c>
      <c r="F8" s="14">
        <f ca="1">IFERROR(IF(VALUE(RIGHT($B$1,2))&gt;$A8,0,AVERAGEIFS(Elec_Off_Peak, 'Avoided AC'!$D:$D, $B8, 'Avoided AC'!$E:$E, "Winter") +
        INDEX(AEPS!$S$8:$S$37, MATCH($A8, 'General Inputs'!$F$3:$F$32, 0)) +
        OFFSET(DRIPE!$I$10, MATCH('LI Output'!$B8, DRIPE!$I$11:$I$30, 0), MATCH('LI Output'!$B$1, DRIPE!$J$10:$N$10, 0), 1, 1) +
        INDEX(Arrearages!C$5:J$24, MATCH($A8, Arrearages!$B$5:$B$24, 0), MATCH('General Inputs'!$C$2, Arrearages!$C$4:$J$4, 0))),"Data Missing")</f>
        <v>118.940873462513</v>
      </c>
      <c r="G8" s="14">
        <f ca="1">IFERROR(IF(VALUE(RIGHT($B$1,2))&gt;$A8,0,AVERAGEIFS(Elec_On_Peak, 'Avoided AC'!$D:$D, $B8, 'Avoided AC'!$E:$E, "Shoulder") +
        INDEX(AEPS!$S$8:$S$37, MATCH($A8, 'General Inputs'!$F$3:$F$32, 0)) +
        OFFSET(DRIPE!$I$10, MATCH('LI Output'!$B8, DRIPE!$I$11:$I$30, 0), MATCH('LI Output'!$B$1, DRIPE!$J$10:$N$10, 0), 1, 1) +
        INDEX(Arrearages!C$5:J$24, MATCH($A8, Arrearages!$B$5:$B$24, 0), MATCH('General Inputs'!$C$2, Arrearages!$C$4:$J$4, 0))),"Data Missing")</f>
        <v>110.4383272476137</v>
      </c>
      <c r="H8" s="14">
        <f ca="1">IFERROR(IF(VALUE(RIGHT($B$1,2))&gt;$A8,0,AVERAGEIFS(Elec_Off_Peak, 'Avoided AC'!$D:$D, $B8, 'Avoided AC'!$E:$E, "Shoulder") +
        INDEX(AEPS!$S$8:$S$37, MATCH($A8, 'General Inputs'!$F$3:$F$32, 0)) +
        OFFSET(DRIPE!$I$10, MATCH('LI Output'!$B8, DRIPE!$I$11:$I$30, 0), MATCH('LI Output'!$B$1, DRIPE!$J$10:$N$10, 0), 1, 1) +
        INDEX(Arrearages!C$5:J$24, MATCH($A8, Arrearages!$B$5:$B$24, 0), MATCH('General Inputs'!$C$2, Arrearages!$C$4:$J$4, 0))),"Data Missing")</f>
        <v>95.497211685248715</v>
      </c>
      <c r="I8" s="14">
        <f ca="1">(IF(VALUE(RIGHT($B$1,2))&gt;$A8,0,INDEX('Generation Capacity'!$E$27:$K$48,MATCH($A8,'Generation Capacity'!$B$27:$B$48,FALSE),MATCH(EDC_NAME,'Generation Capacity'!$E$26:$K$26,FALSE))+
        OFFSET(DRIPE!$B$35,MATCH('LI Output'!$B8,DRIPE!$B$11:$B$30,0),MATCH('LI Output'!$B$1,DRIPE!$C$10:$G$10,0),1,1)))</f>
        <v>40.366181495546314</v>
      </c>
      <c r="J8" s="14">
        <f ca="1">(IF(VALUE(RIGHT($B$1,2))&gt;$A8,0,INDEX('Generation Capacity'!$E$27:$K$48,MATCH($A8,'Generation Capacity'!$B$27:$B$48,FALSE),MATCH(EDC_NAME,'Generation Capacity'!$E$26:$K$26,FALSE))+
        OFFSET(DRIPE!$I$35,MATCH('LI Output'!$B8,DRIPE!$B$11:$B$30,0),MATCH('LI Output'!$B$1,DRIPE!$C$10:$G$10,0),1,1)))</f>
        <v>40.366181495546314</v>
      </c>
      <c r="K8" s="14">
        <f ca="1">IFERROR(IF(VALUE(RIGHT($B$1,2))&gt;$A8,0,INDEX('T&amp;D Capacity'!$E$4:$K$23,MATCH($A8,'T&amp;D Capacity'!$B$4:$B$23,FALSE),MATCH(EDC_NAME,'T&amp;D Capacity'!$E$3:$K$3,FALSE))),0)</f>
        <v>9.3890032112421178</v>
      </c>
      <c r="L8" s="14">
        <f ca="1">IFERROR(IF(VALUE(RIGHT($B$1,2))&gt;$A8,0,INDEX('T&amp;D Capacity'!$E$28:$K$47,MATCH($A8,'T&amp;D Capacity'!$B$28:$B$47,FALSE),MATCH(EDC_NAME,'T&amp;D Capacity'!$E$27:$K$27,FALSE))),0)</f>
        <v>9.3890032112421178</v>
      </c>
      <c r="M8" s="14">
        <f>IFERROR(IF(VALUE(RIGHT($B$1,2))&gt;$A8,0,INDEX('T&amp;D Capacity'!$M$4:$S$23,MATCH($A8,'T&amp;D Capacity'!$B$4:$B$23,FALSE),MATCH(EDC_NAME,'T&amp;D Capacity'!$M$3:$S$3,FALSE))),0)</f>
        <v>56.91817232966423</v>
      </c>
      <c r="N8" s="14">
        <f>IFERROR(IF(VALUE(RIGHT($B$1,2))&gt;$A8,0,INDEX('T&amp;D Capacity'!$M$28:$S$47,MATCH($A8,'T&amp;D Capacity'!$B$28:$B$47,FALSE),MATCH(EDC_NAME,'T&amp;D Capacity'!$M$27:$S$27,FALSE))),0)</f>
        <v>7.9289728403091431</v>
      </c>
      <c r="O8" s="57">
        <f>IFERROR(IF(VALUE(RIGHT($B$1,2))&gt;$A8,0,IFERROR(AVERAGEIF('NG Futures'!$E:$E,$B8,'NG Futures'!$I:$I),"Data Missing")),0)</f>
        <v>3.4177733333333329</v>
      </c>
      <c r="P8" s="319"/>
      <c r="Q8" s="65"/>
      <c r="AF8" s="83"/>
      <c r="AG8" s="83"/>
      <c r="AH8" s="83"/>
      <c r="AI8" s="83"/>
      <c r="AJ8" s="83"/>
      <c r="AK8" s="83"/>
      <c r="AL8" s="83"/>
      <c r="AM8" s="83"/>
      <c r="AN8" s="83"/>
      <c r="AO8" s="83"/>
      <c r="AP8" s="83"/>
      <c r="AQ8" s="83"/>
      <c r="AR8" s="83"/>
      <c r="AS8" s="83"/>
      <c r="AT8" s="83"/>
    </row>
    <row r="9" spans="1:52" ht="15" customHeight="1" x14ac:dyDescent="0.25">
      <c r="A9" s="124">
        <f t="shared" si="0"/>
        <v>22</v>
      </c>
      <c r="B9" s="124">
        <f t="shared" si="0"/>
        <v>2031</v>
      </c>
      <c r="C9" s="121">
        <f ca="1">IFERROR(IF(VALUE(RIGHT($B$1,2))&gt;$A9,0,AVERAGEIFS(Elec_On_Peak, 'Avoided AC'!$D:$D, $B9, 'Avoided AC'!$E:$E, "Summer") +
        INDEX(AEPS!$S$8:$S$37, MATCH($A9, 'General Inputs'!$F$3:$F$32, 0)) +
        OFFSET(DRIPE!$I$10, MATCH('LI Output'!$B9, DRIPE!$I$11:$I$30, 0), MATCH('LI Output'!$B$1, DRIPE!$J$10:$N$10, 0), 1, 1) +
        INDEX(Arrearages!C$5:J$24, MATCH($A9, Arrearages!$B$5:$B$24, 0), MATCH('General Inputs'!$C$2, Arrearages!$C$4:$J$4, 0))),"Data Missing")</f>
        <v>93.445807140523442</v>
      </c>
      <c r="D9" s="15">
        <f ca="1">IFERROR(IF(VALUE(RIGHT($B$1,2))&gt;$A9,0,AVERAGEIFS(Elec_Off_Peak, 'Avoided AC'!$D:$D, $B9, 'Avoided AC'!$E:$E, "Summer") +
        INDEX(AEPS!$S$8:$S$37, MATCH($A9, 'General Inputs'!$F$3:$F$32, 0)) +
        OFFSET(DRIPE!$I$10, MATCH('LI Output'!$B9, DRIPE!$I$11:$I$30, 0), MATCH('LI Output'!$B$1, DRIPE!$J$10:$N$10, 0), 1, 1) +
        INDEX(Arrearages!C$5:J$24, MATCH($A9, Arrearages!$B$5:$B$24, 0), MATCH('General Inputs'!$C$2, Arrearages!$C$4:$J$4, 0))),"Data Missing")</f>
        <v>63.499874538793406</v>
      </c>
      <c r="E9" s="15">
        <f ca="1">IFERROR(IF(VALUE(RIGHT($B$1,2))&gt;$A9,0,AVERAGEIFS(Elec_On_Peak, 'Avoided AC'!$D:$D, $B9, 'Avoided AC'!$E:$E, "Winter") +
        INDEX(AEPS!$S$8:$S$37, MATCH($A9, 'General Inputs'!$F$3:$F$32, 0)) +
        OFFSET(DRIPE!$I$10, MATCH('LI Output'!$B9, DRIPE!$I$11:$I$30, 0), MATCH('LI Output'!$B$1, DRIPE!$J$10:$N$10, 0), 1, 1) +
        INDEX(Arrearages!C$5:J$24, MATCH($A9, Arrearages!$B$5:$B$24, 0), MATCH('General Inputs'!$C$2, Arrearages!$C$4:$J$4, 0))),"Data Missing")</f>
        <v>100.76124696382274</v>
      </c>
      <c r="F9" s="15">
        <f ca="1">IFERROR(IF(VALUE(RIGHT($B$1,2))&gt;$A9,0,AVERAGEIFS(Elec_Off_Peak, 'Avoided AC'!$D:$D, $B9, 'Avoided AC'!$E:$E, "Winter") +
        INDEX(AEPS!$S$8:$S$37, MATCH($A9, 'General Inputs'!$F$3:$F$32, 0)) +
        OFFSET(DRIPE!$I$10, MATCH('LI Output'!$B9, DRIPE!$I$11:$I$30, 0), MATCH('LI Output'!$B$1, DRIPE!$J$10:$N$10, 0), 1, 1) +
        INDEX(Arrearages!C$5:J$24, MATCH($A9, Arrearages!$B$5:$B$24, 0), MATCH('General Inputs'!$C$2, Arrearages!$C$4:$J$4, 0))),"Data Missing")</f>
        <v>88.654216200912643</v>
      </c>
      <c r="G9" s="15">
        <f ca="1">IFERROR(IF(VALUE(RIGHT($B$1,2))&gt;$A9,0,AVERAGEIFS(Elec_On_Peak, 'Avoided AC'!$D:$D, $B9, 'Avoided AC'!$E:$E, "Shoulder") +
        INDEX(AEPS!$S$8:$S$37, MATCH($A9, 'General Inputs'!$F$3:$F$32, 0)) +
        OFFSET(DRIPE!$I$10, MATCH('LI Output'!$B9, DRIPE!$I$11:$I$30, 0), MATCH('LI Output'!$B$1, DRIPE!$J$10:$N$10, 0), 1, 1) +
        INDEX(Arrearages!C$5:J$24, MATCH($A9, Arrearages!$B$5:$B$24, 0), MATCH('General Inputs'!$C$2, Arrearages!$C$4:$J$4, 0))),"Data Missing")</f>
        <v>79.429622291495946</v>
      </c>
      <c r="H9" s="15">
        <f ca="1">IFERROR(IF(VALUE(RIGHT($B$1,2))&gt;$A9,0,AVERAGEIFS(Elec_Off_Peak, 'Avoided AC'!$D:$D, $B9, 'Avoided AC'!$E:$E, "Shoulder") +
        INDEX(AEPS!$S$8:$S$37, MATCH($A9, 'General Inputs'!$F$3:$F$32, 0)) +
        OFFSET(DRIPE!$I$10, MATCH('LI Output'!$B9, DRIPE!$I$11:$I$30, 0), MATCH('LI Output'!$B$1, DRIPE!$J$10:$N$10, 0), 1, 1) +
        INDEX(Arrearages!C$5:J$24, MATCH($A9, Arrearages!$B$5:$B$24, 0), MATCH('General Inputs'!$C$2, Arrearages!$C$4:$J$4, 0))),"Data Missing")</f>
        <v>66.841307438789627</v>
      </c>
      <c r="I9" s="15">
        <f ca="1">(IF(VALUE(RIGHT($B$1,2))&gt;$A9,0,INDEX('Generation Capacity'!$E$27:$K$48,MATCH($A9,'Generation Capacity'!$B$27:$B$48,FALSE),MATCH(EDC_NAME,'Generation Capacity'!$E$26:$K$26,FALSE))+
        OFFSET(DRIPE!$B$35,MATCH('LI Output'!$B9,DRIPE!$B$11:$B$30,0),MATCH('LI Output'!$B$1,DRIPE!$C$10:$G$10,0),1,1)))</f>
        <v>27.642179915077225</v>
      </c>
      <c r="J9" s="15">
        <f ca="1">(IF(VALUE(RIGHT($B$1,2))&gt;$A9,0,INDEX('Generation Capacity'!$E$27:$K$48,MATCH($A9,'Generation Capacity'!$B$27:$B$48,FALSE),MATCH(EDC_NAME,'Generation Capacity'!$E$26:$K$26,FALSE))+
        OFFSET(DRIPE!$I$35,MATCH('LI Output'!$B9,DRIPE!$B$11:$B$30,0),MATCH('LI Output'!$B$1,DRIPE!$C$10:$G$10,0),1,1)))</f>
        <v>27.642179915077225</v>
      </c>
      <c r="K9" s="15">
        <f ca="1">IFERROR(IF(VALUE(RIGHT($B$1,2))&gt;$A9,0,INDEX('T&amp;D Capacity'!$E$4:$K$23,MATCH($A9,'T&amp;D Capacity'!$B$4:$B$23,FALSE),MATCH(EDC_NAME,'T&amp;D Capacity'!$E$3:$K$3,FALSE))),0)</f>
        <v>9.5835004846843326</v>
      </c>
      <c r="L9" s="15">
        <f ca="1">IFERROR(IF(VALUE(RIGHT($B$1,2))&gt;$A9,0,INDEX('T&amp;D Capacity'!$E$28:$K$47,MATCH($A9,'T&amp;D Capacity'!$B$28:$B$47,FALSE),MATCH(EDC_NAME,'T&amp;D Capacity'!$E$27:$K$27,FALSE))),0)</f>
        <v>9.5835004846843326</v>
      </c>
      <c r="M9" s="15">
        <f>IFERROR(IF(VALUE(RIGHT($B$1,2))&gt;$A9,0,INDEX('T&amp;D Capacity'!$M$4:$S$23,MATCH($A9,'T&amp;D Capacity'!$B$4:$B$23,FALSE),MATCH(EDC_NAME,'T&amp;D Capacity'!$M$3:$S$3,FALSE))),0)</f>
        <v>62.194589674472809</v>
      </c>
      <c r="N9" s="15">
        <f>IFERROR(IF(VALUE(RIGHT($B$1,2))&gt;$A9,0,INDEX('T&amp;D Capacity'!$M$28:$S$47,MATCH($A9,'T&amp;D Capacity'!$B$28:$B$47,FALSE),MATCH(EDC_NAME,'T&amp;D Capacity'!$M$27:$S$27,FALSE))),0)</f>
        <v>9.0186463743448257</v>
      </c>
      <c r="O9" s="16">
        <f>IFERROR(IF(VALUE(RIGHT($B$1,2))&gt;$A9,0,IFERROR(AVERAGEIF('NG Futures'!$E:$E,$B9,'NG Futures'!$I:$I),"Data Missing")),0)</f>
        <v>3.3679469428694606</v>
      </c>
      <c r="P9" s="320" t="s">
        <v>128</v>
      </c>
      <c r="Q9" s="65"/>
      <c r="AF9" s="83"/>
      <c r="AG9" s="83"/>
      <c r="AH9" s="83"/>
      <c r="AI9" s="83"/>
      <c r="AJ9" s="83"/>
      <c r="AK9" s="83"/>
      <c r="AL9" s="83"/>
      <c r="AM9" s="83"/>
      <c r="AN9" s="83"/>
      <c r="AO9" s="83"/>
      <c r="AP9" s="83"/>
      <c r="AQ9" s="83"/>
      <c r="AR9" s="83"/>
      <c r="AS9" s="83"/>
      <c r="AT9" s="83"/>
    </row>
    <row r="10" spans="1:52" ht="15" customHeight="1" x14ac:dyDescent="0.25">
      <c r="A10" s="124">
        <f t="shared" si="0"/>
        <v>23</v>
      </c>
      <c r="B10" s="124">
        <f t="shared" si="0"/>
        <v>2032</v>
      </c>
      <c r="C10" s="121">
        <f ca="1">IFERROR(IF(VALUE(RIGHT($B$1,2))&gt;$A10,0,AVERAGEIFS(Elec_On_Peak, 'Avoided AC'!$D:$D, $B10, 'Avoided AC'!$E:$E, "Summer") +
        INDEX(AEPS!$S$8:$S$37, MATCH($A10, 'General Inputs'!$F$3:$F$32, 0)) +
        OFFSET(DRIPE!$I$10, MATCH('LI Output'!$B10, DRIPE!$I$11:$I$30, 0), MATCH('LI Output'!$B$1, DRIPE!$J$10:$N$10, 0), 1, 1) +
        INDEX(Arrearages!C$5:J$24, MATCH($A10, Arrearages!$B$5:$B$24, 0), MATCH('General Inputs'!$C$2, Arrearages!$C$4:$J$4, 0))),"Data Missing")</f>
        <v>93.852849833137839</v>
      </c>
      <c r="D10" s="15">
        <f ca="1">IFERROR(IF(VALUE(RIGHT($B$1,2))&gt;$A10,0,AVERAGEIFS(Elec_Off_Peak, 'Avoided AC'!$D:$D, $B10, 'Avoided AC'!$E:$E, "Summer") +
        INDEX(AEPS!$S$8:$S$37, MATCH($A10, 'General Inputs'!$F$3:$F$32, 0)) +
        OFFSET(DRIPE!$I$10, MATCH('LI Output'!$B10, DRIPE!$I$11:$I$30, 0), MATCH('LI Output'!$B$1, DRIPE!$J$10:$N$10, 0), 1, 1) +
        INDEX(Arrearages!C$5:J$24, MATCH($A10, Arrearages!$B$5:$B$24, 0), MATCH('General Inputs'!$C$2, Arrearages!$C$4:$J$4, 0))),"Data Missing")</f>
        <v>63.948587014300898</v>
      </c>
      <c r="E10" s="15">
        <f ca="1">IFERROR(IF(VALUE(RIGHT($B$1,2))&gt;$A10,0,AVERAGEIFS(Elec_On_Peak, 'Avoided AC'!$D:$D, $B10, 'Avoided AC'!$E:$E, "Winter") +
        INDEX(AEPS!$S$8:$S$37, MATCH($A10, 'General Inputs'!$F$3:$F$32, 0)) +
        OFFSET(DRIPE!$I$10, MATCH('LI Output'!$B10, DRIPE!$I$11:$I$30, 0), MATCH('LI Output'!$B$1, DRIPE!$J$10:$N$10, 0), 1, 1) +
        INDEX(Arrearages!C$5:J$24, MATCH($A10, Arrearages!$B$5:$B$24, 0), MATCH('General Inputs'!$C$2, Arrearages!$C$4:$J$4, 0))),"Data Missing")</f>
        <v>103.71595580353338</v>
      </c>
      <c r="F10" s="15">
        <f ca="1">IFERROR(IF(VALUE(RIGHT($B$1,2))&gt;$A10,0,AVERAGEIFS(Elec_Off_Peak, 'Avoided AC'!$D:$D, $B10, 'Avoided AC'!$E:$E, "Winter") +
        INDEX(AEPS!$S$8:$S$37, MATCH($A10, 'General Inputs'!$F$3:$F$32, 0)) +
        OFFSET(DRIPE!$I$10, MATCH('LI Output'!$B10, DRIPE!$I$11:$I$30, 0), MATCH('LI Output'!$B$1, DRIPE!$J$10:$N$10, 0), 1, 1) +
        INDEX(Arrearages!C$5:J$24, MATCH($A10, Arrearages!$B$5:$B$24, 0), MATCH('General Inputs'!$C$2, Arrearages!$C$4:$J$4, 0))),"Data Missing")</f>
        <v>90.857422969560915</v>
      </c>
      <c r="G10" s="15">
        <f ca="1">IFERROR(IF(VALUE(RIGHT($B$1,2))&gt;$A10,0,AVERAGEIFS(Elec_On_Peak, 'Avoided AC'!$D:$D, $B10, 'Avoided AC'!$E:$E, "Shoulder") +
        INDEX(AEPS!$S$8:$S$37, MATCH($A10, 'General Inputs'!$F$3:$F$32, 0)) +
        OFFSET(DRIPE!$I$10, MATCH('LI Output'!$B10, DRIPE!$I$11:$I$30, 0), MATCH('LI Output'!$B$1, DRIPE!$J$10:$N$10, 0), 1, 1) +
        INDEX(Arrearages!C$5:J$24, MATCH($A10, Arrearages!$B$5:$B$24, 0), MATCH('General Inputs'!$C$2, Arrearages!$C$4:$J$4, 0))),"Data Missing")</f>
        <v>80.485168143082561</v>
      </c>
      <c r="H10" s="15">
        <f ca="1">IFERROR(IF(VALUE(RIGHT($B$1,2))&gt;$A10,0,AVERAGEIFS(Elec_Off_Peak, 'Avoided AC'!$D:$D, $B10, 'Avoided AC'!$E:$E, "Shoulder") +
        INDEX(AEPS!$S$8:$S$37, MATCH($A10, 'General Inputs'!$F$3:$F$32, 0)) +
        OFFSET(DRIPE!$I$10, MATCH('LI Output'!$B10, DRIPE!$I$11:$I$30, 0), MATCH('LI Output'!$B$1, DRIPE!$J$10:$N$10, 0), 1, 1) +
        INDEX(Arrearages!C$5:J$24, MATCH($A10, Arrearages!$B$5:$B$24, 0), MATCH('General Inputs'!$C$2, Arrearages!$C$4:$J$4, 0))),"Data Missing")</f>
        <v>67.736622815072536</v>
      </c>
      <c r="I10" s="15">
        <f ca="1">(IF(VALUE(RIGHT($B$1,2))&gt;$A10,0,INDEX('Generation Capacity'!$E$27:$K$48,MATCH($A10,'Generation Capacity'!$B$27:$B$48,FALSE),MATCH(EDC_NAME,'Generation Capacity'!$E$26:$K$26,FALSE))+
        OFFSET(DRIPE!$B$35,MATCH('LI Output'!$B10,DRIPE!$B$11:$B$30,0),MATCH('LI Output'!$B$1,DRIPE!$C$10:$G$10,0),1,1)))</f>
        <v>28.214799660168399</v>
      </c>
      <c r="J10" s="15">
        <f ca="1">(IF(VALUE(RIGHT($B$1,2))&gt;$A10,0,INDEX('Generation Capacity'!$E$27:$K$48,MATCH($A10,'Generation Capacity'!$B$27:$B$48,FALSE),MATCH(EDC_NAME,'Generation Capacity'!$E$26:$K$26,FALSE))+
        OFFSET(DRIPE!$I$35,MATCH('LI Output'!$B10,DRIPE!$B$11:$B$30,0),MATCH('LI Output'!$B$1,DRIPE!$C$10:$G$10,0),1,1)))</f>
        <v>28.214799660168399</v>
      </c>
      <c r="K10" s="15">
        <f ca="1">IFERROR(IF(VALUE(RIGHT($B$1,2))&gt;$A10,0,INDEX('T&amp;D Capacity'!$E$4:$K$23,MATCH($A10,'T&amp;D Capacity'!$B$4:$B$23,FALSE),MATCH(EDC_NAME,'T&amp;D Capacity'!$E$3:$K$3,FALSE))),0)</f>
        <v>9.7820268534975199</v>
      </c>
      <c r="L10" s="15">
        <f ca="1">IFERROR(IF(VALUE(RIGHT($B$1,2))&gt;$A10,0,INDEX('T&amp;D Capacity'!$E$28:$K$47,MATCH($A10,'T&amp;D Capacity'!$B$28:$B$47,FALSE),MATCH(EDC_NAME,'T&amp;D Capacity'!$E$27:$K$27,FALSE))),0)</f>
        <v>9.7820268534975199</v>
      </c>
      <c r="M10" s="15">
        <f ca="1">IFERROR(IF(VALUE(RIGHT($B$1,2))&gt;$A10,0,INDEX('T&amp;D Capacity'!$M$4:$S$23,MATCH($A10,'T&amp;D Capacity'!$B$4:$B$23,FALSE),MATCH(EDC_NAME,'T&amp;D Capacity'!$M$3:$S$3,FALSE))),0)</f>
        <v>63.482977572781131</v>
      </c>
      <c r="N10" s="15">
        <f ca="1">IFERROR(IF(VALUE(RIGHT($B$1,2))&gt;$A10,0,INDEX('T&amp;D Capacity'!$M$28:$S$47,MATCH($A10,'T&amp;D Capacity'!$B$28:$B$47,FALSE),MATCH(EDC_NAME,'T&amp;D Capacity'!$M$27:$S$27,FALSE))),0)</f>
        <v>9.2054715452904787</v>
      </c>
      <c r="O10" s="16">
        <f>IFERROR(IF(VALUE(RIGHT($B$1,2))&gt;$A10,0,IFERROR(AVERAGEIF('NG Futures'!$E:$E,$B10,'NG Futures'!$I:$I),"Data Missing")),0)</f>
        <v>3.4331546501092309</v>
      </c>
      <c r="P10" s="321"/>
      <c r="Q10" s="65"/>
      <c r="AF10" s="83"/>
      <c r="AG10" s="83"/>
      <c r="AH10" s="83"/>
      <c r="AI10" s="83"/>
      <c r="AJ10" s="83"/>
      <c r="AK10" s="83"/>
      <c r="AL10" s="83"/>
      <c r="AM10" s="83"/>
      <c r="AN10" s="83"/>
      <c r="AO10" s="83"/>
      <c r="AP10" s="83"/>
      <c r="AQ10" s="83"/>
      <c r="AR10" s="83"/>
      <c r="AS10" s="83"/>
      <c r="AT10" s="83"/>
    </row>
    <row r="11" spans="1:52" ht="15" customHeight="1" x14ac:dyDescent="0.25">
      <c r="A11" s="124">
        <f t="shared" si="0"/>
        <v>24</v>
      </c>
      <c r="B11" s="124">
        <f t="shared" si="0"/>
        <v>2033</v>
      </c>
      <c r="C11" s="121">
        <f ca="1">IFERROR(IF(VALUE(RIGHT($B$1,2))&gt;$A11,0,AVERAGEIFS(Elec_On_Peak, 'Avoided AC'!$D:$D, $B11, 'Avoided AC'!$E:$E, "Summer") +
        INDEX(AEPS!$S$8:$S$37, MATCH($A11, 'General Inputs'!$F$3:$F$32, 0)) +
        OFFSET(DRIPE!$I$10, MATCH('LI Output'!$B11, DRIPE!$I$11:$I$30, 0), MATCH('LI Output'!$B$1, DRIPE!$J$10:$N$10, 0), 1, 1) +
        INDEX(Arrearages!C$5:J$24, MATCH($A11, Arrearages!$B$5:$B$24, 0), MATCH('General Inputs'!$C$2, Arrearages!$C$4:$J$4, 0))),"Data Missing")</f>
        <v>96.636917803790226</v>
      </c>
      <c r="D11" s="15">
        <f ca="1">IFERROR(IF(VALUE(RIGHT($B$1,2))&gt;$A11,0,AVERAGEIFS(Elec_Off_Peak, 'Avoided AC'!$D:$D, $B11, 'Avoided AC'!$E:$E, "Summer") +
        INDEX(AEPS!$S$8:$S$37, MATCH($A11, 'General Inputs'!$F$3:$F$32, 0)) +
        OFFSET(DRIPE!$I$10, MATCH('LI Output'!$B11, DRIPE!$I$11:$I$30, 0), MATCH('LI Output'!$B$1, DRIPE!$J$10:$N$10, 0), 1, 1) +
        INDEX(Arrearages!C$5:J$24, MATCH($A11, Arrearages!$B$5:$B$24, 0), MATCH('General Inputs'!$C$2, Arrearages!$C$4:$J$4, 0))),"Data Missing")</f>
        <v>66.037646911223746</v>
      </c>
      <c r="E11" s="15">
        <f ca="1">IFERROR(IF(VALUE(RIGHT($B$1,2))&gt;$A11,0,AVERAGEIFS(Elec_On_Peak, 'Avoided AC'!$D:$D, $B11, 'Avoided AC'!$E:$E, "Winter") +
        INDEX(AEPS!$S$8:$S$37, MATCH($A11, 'General Inputs'!$F$3:$F$32, 0)) +
        OFFSET(DRIPE!$I$10, MATCH('LI Output'!$B11, DRIPE!$I$11:$I$30, 0), MATCH('LI Output'!$B$1, DRIPE!$J$10:$N$10, 0), 1, 1) +
        INDEX(Arrearages!C$5:J$24, MATCH($A11, Arrearages!$B$5:$B$24, 0), MATCH('General Inputs'!$C$2, Arrearages!$C$4:$J$4, 0))),"Data Missing")</f>
        <v>108.46263524538669</v>
      </c>
      <c r="F11" s="15">
        <f ca="1">IFERROR(IF(VALUE(RIGHT($B$1,2))&gt;$A11,0,AVERAGEIFS(Elec_Off_Peak, 'Avoided AC'!$D:$D, $B11, 'Avoided AC'!$E:$E, "Winter") +
        INDEX(AEPS!$S$8:$S$37, MATCH($A11, 'General Inputs'!$F$3:$F$32, 0)) +
        OFFSET(DRIPE!$I$10, MATCH('LI Output'!$B11, DRIPE!$I$11:$I$30, 0), MATCH('LI Output'!$B$1, DRIPE!$J$10:$N$10, 0), 1, 1) +
        INDEX(Arrearages!C$5:J$24, MATCH($A11, Arrearages!$B$5:$B$24, 0), MATCH('General Inputs'!$C$2, Arrearages!$C$4:$J$4, 0))),"Data Missing")</f>
        <v>94.298069152543803</v>
      </c>
      <c r="G11" s="15">
        <f ca="1">IFERROR(IF(VALUE(RIGHT($B$1,2))&gt;$A11,0,AVERAGEIFS(Elec_On_Peak, 'Avoided AC'!$D:$D, $B11, 'Avoided AC'!$E:$E, "Shoulder") +
        INDEX(AEPS!$S$8:$S$37, MATCH($A11, 'General Inputs'!$F$3:$F$32, 0)) +
        OFFSET(DRIPE!$I$10, MATCH('LI Output'!$B11, DRIPE!$I$11:$I$30, 0), MATCH('LI Output'!$B$1, DRIPE!$J$10:$N$10, 0), 1, 1) +
        INDEX(Arrearages!C$5:J$24, MATCH($A11, Arrearages!$B$5:$B$24, 0), MATCH('General Inputs'!$C$2, Arrearages!$C$4:$J$4, 0))),"Data Missing")</f>
        <v>83.297070539605855</v>
      </c>
      <c r="H11" s="15">
        <f ca="1">IFERROR(IF(VALUE(RIGHT($B$1,2))&gt;$A11,0,AVERAGEIFS(Elec_Off_Peak, 'Avoided AC'!$D:$D, $B11, 'Avoided AC'!$E:$E, "Shoulder") +
        INDEX(AEPS!$S$8:$S$37, MATCH($A11, 'General Inputs'!$F$3:$F$32, 0)) +
        OFFSET(DRIPE!$I$10, MATCH('LI Output'!$B11, DRIPE!$I$11:$I$30, 0), MATCH('LI Output'!$B$1, DRIPE!$J$10:$N$10, 0), 1, 1) +
        INDEX(Arrearages!C$5:J$24, MATCH($A11, Arrearages!$B$5:$B$24, 0), MATCH('General Inputs'!$C$2, Arrearages!$C$4:$J$4, 0))),"Data Missing")</f>
        <v>69.844851370101978</v>
      </c>
      <c r="I11" s="15">
        <f ca="1">(IF(VALUE(RIGHT($B$1,2))&gt;$A11,0,INDEX('Generation Capacity'!$E$27:$K$48,MATCH($A11,'Generation Capacity'!$B$27:$B$48,FALSE),MATCH(EDC_NAME,'Generation Capacity'!$E$26:$K$26,FALSE))+
        OFFSET(DRIPE!$B$35,MATCH('LI Output'!$B11,DRIPE!$B$11:$B$30,0),MATCH('LI Output'!$B$1,DRIPE!$C$10:$G$10,0),1,1)))</f>
        <v>28.799281471618873</v>
      </c>
      <c r="J11" s="15">
        <f ca="1">(IF(VALUE(RIGHT($B$1,2))&gt;$A11,0,INDEX('Generation Capacity'!$E$27:$K$48,MATCH($A11,'Generation Capacity'!$B$27:$B$48,FALSE),MATCH(EDC_NAME,'Generation Capacity'!$E$26:$K$26,FALSE))+
        OFFSET(DRIPE!$I$35,MATCH('LI Output'!$B11,DRIPE!$B$11:$B$30,0),MATCH('LI Output'!$B$1,DRIPE!$C$10:$G$10,0),1,1)))</f>
        <v>28.799281471618873</v>
      </c>
      <c r="K11" s="15">
        <f ca="1">IFERROR(IF(VALUE(RIGHT($B$1,2))&gt;$A11,0,INDEX('T&amp;D Capacity'!$E$4:$K$23,MATCH($A11,'T&amp;D Capacity'!$B$4:$B$23,FALSE),MATCH(EDC_NAME,'T&amp;D Capacity'!$E$3:$K$3,FALSE))),0)</f>
        <v>9.9846657821396683</v>
      </c>
      <c r="L11" s="15">
        <f ca="1">IFERROR(IF(VALUE(RIGHT($B$1,2))&gt;$A11,0,INDEX('T&amp;D Capacity'!$E$28:$K$47,MATCH($A11,'T&amp;D Capacity'!$B$28:$B$47,FALSE),MATCH(EDC_NAME,'T&amp;D Capacity'!$E$27:$K$27,FALSE))),0)</f>
        <v>9.9846657821396683</v>
      </c>
      <c r="M11" s="15">
        <f ca="1">IFERROR(IF(VALUE(RIGHT($B$1,2))&gt;$A11,0,INDEX('T&amp;D Capacity'!$M$4:$S$23,MATCH($A11,'T&amp;D Capacity'!$B$4:$B$23,FALSE),MATCH(EDC_NAME,'T&amp;D Capacity'!$M$3:$S$3,FALSE))),0)</f>
        <v>64.798054985164484</v>
      </c>
      <c r="N11" s="15">
        <f ca="1">IFERROR(IF(VALUE(RIGHT($B$1,2))&gt;$A11,0,INDEX('T&amp;D Capacity'!$M$28:$S$47,MATCH($A11,'T&amp;D Capacity'!$B$28:$B$47,FALSE),MATCH(EDC_NAME,'T&amp;D Capacity'!$M$27:$S$27,FALSE))),0)</f>
        <v>9.396166880676569</v>
      </c>
      <c r="O11" s="16">
        <f>IFERROR(IF(VALUE(RIGHT($B$1,2))&gt;$A11,0,IFERROR(AVERAGEIF('NG Futures'!$E:$E,$B11,'NG Futures'!$I:$I),"Data Missing")),0)</f>
        <v>3.6808695479745581</v>
      </c>
      <c r="P11" s="321"/>
      <c r="Q11" s="65"/>
      <c r="AF11" s="83"/>
      <c r="AG11" s="83"/>
      <c r="AH11" s="83"/>
      <c r="AI11" s="83"/>
      <c r="AJ11" s="83"/>
      <c r="AK11" s="83"/>
      <c r="AL11" s="83"/>
      <c r="AM11" s="83"/>
      <c r="AN11" s="83"/>
      <c r="AO11" s="83"/>
      <c r="AP11" s="83"/>
      <c r="AQ11" s="83"/>
      <c r="AR11" s="83"/>
      <c r="AS11" s="83"/>
      <c r="AT11" s="83"/>
    </row>
    <row r="12" spans="1:52" ht="15" customHeight="1" x14ac:dyDescent="0.25">
      <c r="A12" s="124">
        <f t="shared" si="0"/>
        <v>25</v>
      </c>
      <c r="B12" s="124">
        <f t="shared" si="0"/>
        <v>2034</v>
      </c>
      <c r="C12" s="121">
        <f ca="1">IFERROR(IF(VALUE(RIGHT($B$1,2))&gt;$A12,0,AVERAGEIFS(Elec_On_Peak, 'Avoided AC'!$D:$D, $B12, 'Avoided AC'!$E:$E, "Summer") +
        INDEX(AEPS!$S$8:$S$37, MATCH($A12, 'General Inputs'!$F$3:$F$32, 0)) +
        OFFSET(DRIPE!$I$10, MATCH('LI Output'!$B12, DRIPE!$I$11:$I$30, 0), MATCH('LI Output'!$B$1, DRIPE!$J$10:$N$10, 0), 1, 1) +
        INDEX(Arrearages!C$5:J$24, MATCH($A12, Arrearages!$B$5:$B$24, 0), MATCH('General Inputs'!$C$2, Arrearages!$C$4:$J$4, 0))),"Data Missing")</f>
        <v>99.933740244154734</v>
      </c>
      <c r="D12" s="15">
        <f ca="1">IFERROR(IF(VALUE(RIGHT($B$1,2))&gt;$A12,0,AVERAGEIFS(Elec_Off_Peak, 'Avoided AC'!$D:$D, $B12, 'Avoided AC'!$E:$E, "Summer") +
        INDEX(AEPS!$S$8:$S$37, MATCH($A12, 'General Inputs'!$F$3:$F$32, 0)) +
        OFFSET(DRIPE!$I$10, MATCH('LI Output'!$B12, DRIPE!$I$11:$I$30, 0), MATCH('LI Output'!$B$1, DRIPE!$J$10:$N$10, 0), 1, 1) +
        INDEX(Arrearages!C$5:J$24, MATCH($A12, Arrearages!$B$5:$B$24, 0), MATCH('General Inputs'!$C$2, Arrearages!$C$4:$J$4, 0))),"Data Missing")</f>
        <v>68.483259297638241</v>
      </c>
      <c r="E12" s="15">
        <f ca="1">IFERROR(IF(VALUE(RIGHT($B$1,2))&gt;$A12,0,AVERAGEIFS(Elec_On_Peak, 'Avoided AC'!$D:$D, $B12, 'Avoided AC'!$E:$E, "Winter") +
        INDEX(AEPS!$S$8:$S$37, MATCH($A12, 'General Inputs'!$F$3:$F$32, 0)) +
        OFFSET(DRIPE!$I$10, MATCH('LI Output'!$B12, DRIPE!$I$11:$I$30, 0), MATCH('LI Output'!$B$1, DRIPE!$J$10:$N$10, 0), 1, 1) +
        INDEX(Arrearages!C$5:J$24, MATCH($A12, Arrearages!$B$5:$B$24, 0), MATCH('General Inputs'!$C$2, Arrearages!$C$4:$J$4, 0))),"Data Missing")</f>
        <v>114.2624055092225</v>
      </c>
      <c r="F12" s="15">
        <f ca="1">IFERROR(IF(VALUE(RIGHT($B$1,2))&gt;$A12,0,AVERAGEIFS(Elec_Off_Peak, 'Avoided AC'!$D:$D, $B12, 'Avoided AC'!$E:$E, "Winter") +
        INDEX(AEPS!$S$8:$S$37, MATCH($A12, 'General Inputs'!$F$3:$F$32, 0)) +
        OFFSET(DRIPE!$I$10, MATCH('LI Output'!$B12, DRIPE!$I$11:$I$30, 0), MATCH('LI Output'!$B$1, DRIPE!$J$10:$N$10, 0), 1, 1) +
        INDEX(Arrearages!C$5:J$24, MATCH($A12, Arrearages!$B$5:$B$24, 0), MATCH('General Inputs'!$C$2, Arrearages!$C$4:$J$4, 0))),"Data Missing")</f>
        <v>98.467379786201107</v>
      </c>
      <c r="G12" s="15">
        <f ca="1">IFERROR(IF(VALUE(RIGHT($B$1,2))&gt;$A12,0,AVERAGEIFS(Elec_On_Peak, 'Avoided AC'!$D:$D, $B12, 'Avoided AC'!$E:$E, "Shoulder") +
        INDEX(AEPS!$S$8:$S$37, MATCH($A12, 'General Inputs'!$F$3:$F$32, 0)) +
        OFFSET(DRIPE!$I$10, MATCH('LI Output'!$B12, DRIPE!$I$11:$I$30, 0), MATCH('LI Output'!$B$1, DRIPE!$J$10:$N$10, 0), 1, 1) +
        INDEX(Arrearages!C$5:J$24, MATCH($A12, Arrearages!$B$5:$B$24, 0), MATCH('General Inputs'!$C$2, Arrearages!$C$4:$J$4, 0))),"Data Missing")</f>
        <v>86.917843978920246</v>
      </c>
      <c r="H12" s="15">
        <f ca="1">IFERROR(IF(VALUE(RIGHT($B$1,2))&gt;$A12,0,AVERAGEIFS(Elec_Off_Peak, 'Avoided AC'!$D:$D, $B12, 'Avoided AC'!$E:$E, "Shoulder") +
        INDEX(AEPS!$S$8:$S$37, MATCH($A12, 'General Inputs'!$F$3:$F$32, 0)) +
        OFFSET(DRIPE!$I$10, MATCH('LI Output'!$B12, DRIPE!$I$11:$I$30, 0), MATCH('LI Output'!$B$1, DRIPE!$J$10:$N$10, 0), 1, 1) +
        INDEX(Arrearages!C$5:J$24, MATCH($A12, Arrearages!$B$5:$B$24, 0), MATCH('General Inputs'!$C$2, Arrearages!$C$4:$J$4, 0))),"Data Missing")</f>
        <v>72.513558206926561</v>
      </c>
      <c r="I12" s="15">
        <f ca="1">(IF(VALUE(RIGHT($B$1,2))&gt;$A12,0,INDEX('Generation Capacity'!$E$27:$K$48,MATCH($A12,'Generation Capacity'!$B$27:$B$48,FALSE),MATCH(EDC_NAME,'Generation Capacity'!$E$26:$K$26,FALSE))+
        OFFSET(DRIPE!$B$35,MATCH('LI Output'!$B12,DRIPE!$B$11:$B$30,0),MATCH('LI Output'!$B$1,DRIPE!$C$10:$G$10,0),1,1)))</f>
        <v>29.395871077277739</v>
      </c>
      <c r="J12" s="15">
        <f ca="1">(IF(VALUE(RIGHT($B$1,2))&gt;$A12,0,INDEX('Generation Capacity'!$E$27:$K$48,MATCH($A12,'Generation Capacity'!$B$27:$B$48,FALSE),MATCH(EDC_NAME,'Generation Capacity'!$E$26:$K$26,FALSE))+
        OFFSET(DRIPE!$I$35,MATCH('LI Output'!$B12,DRIPE!$B$11:$B$30,0),MATCH('LI Output'!$B$1,DRIPE!$C$10:$G$10,0),1,1)))</f>
        <v>29.395871077277739</v>
      </c>
      <c r="K12" s="15">
        <f ca="1">IFERROR(IF(VALUE(RIGHT($B$1,2))&gt;$A12,0,INDEX('T&amp;D Capacity'!$E$4:$K$23,MATCH($A12,'T&amp;D Capacity'!$B$4:$B$23,FALSE),MATCH(EDC_NAME,'T&amp;D Capacity'!$E$3:$K$3,FALSE))),0)</f>
        <v>10.191502464071213</v>
      </c>
      <c r="L12" s="15">
        <f ca="1">IFERROR(IF(VALUE(RIGHT($B$1,2))&gt;$A12,0,INDEX('T&amp;D Capacity'!$E$28:$K$47,MATCH($A12,'T&amp;D Capacity'!$B$28:$B$47,FALSE),MATCH(EDC_NAME,'T&amp;D Capacity'!$E$27:$K$27,FALSE))),0)</f>
        <v>10.191502464071213</v>
      </c>
      <c r="M12" s="15">
        <f ca="1">IFERROR(IF(VALUE(RIGHT($B$1,2))&gt;$A12,0,INDEX('T&amp;D Capacity'!$M$4:$S$23,MATCH($A12,'T&amp;D Capacity'!$B$4:$B$23,FALSE),MATCH(EDC_NAME,'T&amp;D Capacity'!$M$3:$S$3,FALSE))),0)</f>
        <v>66.140374796481908</v>
      </c>
      <c r="N12" s="15">
        <f ca="1">IFERROR(IF(VALUE(RIGHT($B$1,2))&gt;$A12,0,INDEX('T&amp;D Capacity'!$M$28:$S$47,MATCH($A12,'T&amp;D Capacity'!$B$28:$B$47,FALSE),MATCH(EDC_NAME,'T&amp;D Capacity'!$M$27:$S$27,FALSE))),0)</f>
        <v>9.5908125526379333</v>
      </c>
      <c r="O12" s="16">
        <f>IFERROR(IF(VALUE(RIGHT($B$1,2))&gt;$A12,0,IFERROR(AVERAGEIF('NG Futures'!$E:$E,$B12,'NG Futures'!$I:$I),"Data Missing")),0)</f>
        <v>3.9952671302460749</v>
      </c>
      <c r="P12" s="321"/>
      <c r="Q12" s="65"/>
      <c r="AF12" s="83"/>
      <c r="AG12" s="83"/>
      <c r="AH12" s="83"/>
      <c r="AI12" s="83"/>
      <c r="AJ12" s="83"/>
      <c r="AK12" s="83"/>
      <c r="AL12" s="83"/>
      <c r="AM12" s="83"/>
      <c r="AN12" s="83"/>
      <c r="AO12" s="83"/>
      <c r="AP12" s="83"/>
      <c r="AQ12" s="83"/>
      <c r="AR12" s="83"/>
      <c r="AS12" s="83"/>
      <c r="AT12" s="83"/>
    </row>
    <row r="13" spans="1:52" ht="15" customHeight="1" x14ac:dyDescent="0.25">
      <c r="A13" s="124">
        <f t="shared" si="0"/>
        <v>26</v>
      </c>
      <c r="B13" s="124">
        <f t="shared" si="0"/>
        <v>2035</v>
      </c>
      <c r="C13" s="121">
        <f ca="1">IFERROR(IF(VALUE(RIGHT($B$1,2))&gt;$A13,0,AVERAGEIFS(Elec_On_Peak, 'Avoided AC'!$D:$D, $B13, 'Avoided AC'!$E:$E, "Summer") +
        INDEX(AEPS!$S$8:$S$37, MATCH($A13, 'General Inputs'!$F$3:$F$32, 0)) +
        OFFSET(DRIPE!$I$10, MATCH('LI Output'!$B13, DRIPE!$I$11:$I$30, 0), MATCH('LI Output'!$B$1, DRIPE!$J$10:$N$10, 0), 1, 1) +
        INDEX(Arrearages!C$5:J$24, MATCH($A13, Arrearages!$B$5:$B$24, 0), MATCH('General Inputs'!$C$2, Arrearages!$C$4:$J$4, 0))),"Data Missing")</f>
        <v>103.13861729669094</v>
      </c>
      <c r="D13" s="15">
        <f ca="1">IFERROR(IF(VALUE(RIGHT($B$1,2))&gt;$A13,0,AVERAGEIFS(Elec_Off_Peak, 'Avoided AC'!$D:$D, $B13, 'Avoided AC'!$E:$E, "Summer") +
        INDEX(AEPS!$S$8:$S$37, MATCH($A13, 'General Inputs'!$F$3:$F$32, 0)) +
        OFFSET(DRIPE!$I$10, MATCH('LI Output'!$B13, DRIPE!$I$11:$I$30, 0), MATCH('LI Output'!$B$1, DRIPE!$J$10:$N$10, 0), 1, 1) +
        INDEX(Arrearages!C$5:J$24, MATCH($A13, Arrearages!$B$5:$B$24, 0), MATCH('General Inputs'!$C$2, Arrearages!$C$4:$J$4, 0))),"Data Missing")</f>
        <v>70.869055878192299</v>
      </c>
      <c r="E13" s="15">
        <f ca="1">IFERROR(IF(VALUE(RIGHT($B$1,2))&gt;$A13,0,AVERAGEIFS(Elec_On_Peak, 'Avoided AC'!$D:$D, $B13, 'Avoided AC'!$E:$E, "Winter") +
        INDEX(AEPS!$S$8:$S$37, MATCH($A13, 'General Inputs'!$F$3:$F$32, 0)) +
        OFFSET(DRIPE!$I$10, MATCH('LI Output'!$B13, DRIPE!$I$11:$I$30, 0), MATCH('LI Output'!$B$1, DRIPE!$J$10:$N$10, 0), 1, 1) +
        INDEX(Arrearages!C$5:J$24, MATCH($A13, Arrearages!$B$5:$B$24, 0), MATCH('General Inputs'!$C$2, Arrearages!$C$4:$J$4, 0))),"Data Missing")</f>
        <v>119.72768821880611</v>
      </c>
      <c r="F13" s="15">
        <f ca="1">IFERROR(IF(VALUE(RIGHT($B$1,2))&gt;$A13,0,AVERAGEIFS(Elec_Off_Peak, 'Avoided AC'!$D:$D, $B13, 'Avoided AC'!$E:$E, "Winter") +
        INDEX(AEPS!$S$8:$S$37, MATCH($A13, 'General Inputs'!$F$3:$F$32, 0)) +
        OFFSET(DRIPE!$I$10, MATCH('LI Output'!$B13, DRIPE!$I$11:$I$30, 0), MATCH('LI Output'!$B$1, DRIPE!$J$10:$N$10, 0), 1, 1) +
        INDEX(Arrearages!C$5:J$24, MATCH($A13, Arrearages!$B$5:$B$24, 0), MATCH('General Inputs'!$C$2, Arrearages!$C$4:$J$4, 0))),"Data Missing")</f>
        <v>102.40984376212525</v>
      </c>
      <c r="G13" s="15">
        <f ca="1">IFERROR(IF(VALUE(RIGHT($B$1,2))&gt;$A13,0,AVERAGEIFS(Elec_On_Peak, 'Avoided AC'!$D:$D, $B13, 'Avoided AC'!$E:$E, "Shoulder") +
        INDEX(AEPS!$S$8:$S$37, MATCH($A13, 'General Inputs'!$F$3:$F$32, 0)) +
        OFFSET(DRIPE!$I$10, MATCH('LI Output'!$B13, DRIPE!$I$11:$I$30, 0), MATCH('LI Output'!$B$1, DRIPE!$J$10:$N$10, 0), 1, 1) +
        INDEX(Arrearages!C$5:J$24, MATCH($A13, Arrearages!$B$5:$B$24, 0), MATCH('General Inputs'!$C$2, Arrearages!$C$4:$J$4, 0))),"Data Missing")</f>
        <v>90.544767853443929</v>
      </c>
      <c r="H13" s="15">
        <f ca="1">IFERROR(IF(VALUE(RIGHT($B$1,2))&gt;$A13,0,AVERAGEIFS(Elec_Off_Peak, 'Avoided AC'!$D:$D, $B13, 'Avoided AC'!$E:$E, "Shoulder") +
        INDEX(AEPS!$S$8:$S$37, MATCH($A13, 'General Inputs'!$F$3:$F$32, 0)) +
        OFFSET(DRIPE!$I$10, MATCH('LI Output'!$B13, DRIPE!$I$11:$I$30, 0), MATCH('LI Output'!$B$1, DRIPE!$J$10:$N$10, 0), 1, 1) +
        INDEX(Arrearages!C$5:J$24, MATCH($A13, Arrearages!$B$5:$B$24, 0), MATCH('General Inputs'!$C$2, Arrearages!$C$4:$J$4, 0))),"Data Missing")</f>
        <v>75.190004620646249</v>
      </c>
      <c r="I13" s="15">
        <f ca="1">(IF(VALUE(RIGHT($B$1,2))&gt;$A13,0,INDEX('Generation Capacity'!$E$27:$K$48,MATCH($A13,'Generation Capacity'!$B$27:$B$48,FALSE),MATCH(EDC_NAME,'Generation Capacity'!$E$26:$K$26,FALSE))+
        OFFSET(DRIPE!$B$35,MATCH('LI Output'!$B13,DRIPE!$B$11:$B$30,0),MATCH('LI Output'!$B$1,DRIPE!$C$10:$G$10,0),1,1)))</f>
        <v>30.004819295353062</v>
      </c>
      <c r="J13" s="15">
        <f ca="1">(IF(VALUE(RIGHT($B$1,2))&gt;$A13,0,INDEX('Generation Capacity'!$E$27:$K$48,MATCH($A13,'Generation Capacity'!$B$27:$B$48,FALSE),MATCH(EDC_NAME,'Generation Capacity'!$E$26:$K$26,FALSE))+
        OFFSET(DRIPE!$I$35,MATCH('LI Output'!$B13,DRIPE!$B$11:$B$30,0),MATCH('LI Output'!$B$1,DRIPE!$C$10:$G$10,0),1,1)))</f>
        <v>30.004819295353062</v>
      </c>
      <c r="K13" s="15">
        <f ca="1">IFERROR(IF(VALUE(RIGHT($B$1,2))&gt;$A13,0,INDEX('T&amp;D Capacity'!$E$4:$K$23,MATCH($A13,'T&amp;D Capacity'!$B$4:$B$23,FALSE),MATCH(EDC_NAME,'T&amp;D Capacity'!$E$3:$K$3,FALSE))),0)</f>
        <v>10.402623857572072</v>
      </c>
      <c r="L13" s="15">
        <f ca="1">IFERROR(IF(VALUE(RIGHT($B$1,2))&gt;$A13,0,INDEX('T&amp;D Capacity'!$E$28:$K$47,MATCH($A13,'T&amp;D Capacity'!$B$28:$B$47,FALSE),MATCH(EDC_NAME,'T&amp;D Capacity'!$E$27:$K$27,FALSE))),0)</f>
        <v>10.402623857572072</v>
      </c>
      <c r="M13" s="15">
        <f ca="1">IFERROR(IF(VALUE(RIGHT($B$1,2))&gt;$A13,0,INDEX('T&amp;D Capacity'!$M$4:$S$23,MATCH($A13,'T&amp;D Capacity'!$B$4:$B$23,FALSE),MATCH(EDC_NAME,'T&amp;D Capacity'!$M$3:$S$3,FALSE))),0)</f>
        <v>67.510501344842098</v>
      </c>
      <c r="N13" s="15">
        <f ca="1">IFERROR(IF(VALUE(RIGHT($B$1,2))&gt;$A13,0,INDEX('T&amp;D Capacity'!$M$28:$S$47,MATCH($A13,'T&amp;D Capacity'!$B$28:$B$47,FALSE),MATCH(EDC_NAME,'T&amp;D Capacity'!$M$27:$S$27,FALSE))),0)</f>
        <v>9.7894903941099525</v>
      </c>
      <c r="O13" s="16">
        <f>IFERROR(IF(VALUE(RIGHT($B$1,2))&gt;$A13,0,IFERROR(AVERAGEIF('NG Futures'!$E:$E,$B13,'NG Futures'!$I:$I),"Data Missing")),0)</f>
        <v>4.297775585014695</v>
      </c>
      <c r="P13" s="321"/>
      <c r="Q13" s="65"/>
      <c r="AF13" s="83"/>
      <c r="AG13" s="83"/>
      <c r="AH13" s="83"/>
      <c r="AI13" s="83"/>
      <c r="AJ13" s="83"/>
      <c r="AK13" s="83"/>
      <c r="AL13" s="83"/>
      <c r="AM13" s="83"/>
      <c r="AN13" s="83"/>
      <c r="AO13" s="83"/>
      <c r="AP13" s="83"/>
      <c r="AQ13" s="83"/>
      <c r="AR13" s="83"/>
      <c r="AS13" s="83"/>
      <c r="AT13" s="83"/>
    </row>
    <row r="14" spans="1:52" ht="15" customHeight="1" x14ac:dyDescent="0.25">
      <c r="A14" s="124">
        <f t="shared" si="0"/>
        <v>27</v>
      </c>
      <c r="B14" s="124">
        <f t="shared" si="0"/>
        <v>2036</v>
      </c>
      <c r="C14" s="121">
        <f ca="1">IFERROR(IF(VALUE(RIGHT($B$1,2))&gt;$A14,0,AVERAGEIFS(Elec_On_Peak, 'Avoided AC'!$D:$D, $B14, 'Avoided AC'!$E:$E, "Summer") +
        INDEX(AEPS!$S$8:$S$37, MATCH($A14, 'General Inputs'!$F$3:$F$32, 0)) +
        OFFSET(DRIPE!$I$10, MATCH('LI Output'!$B14, DRIPE!$I$11:$I$30, 0), MATCH('LI Output'!$B$1, DRIPE!$J$10:$N$10, 0), 1, 1) +
        INDEX(Arrearages!C$5:J$24, MATCH($A14, Arrearages!$B$5:$B$24, 0), MATCH('General Inputs'!$C$2, Arrearages!$C$4:$J$4, 0))),"Data Missing")</f>
        <v>106.14802988415305</v>
      </c>
      <c r="D14" s="15">
        <f ca="1">IFERROR(IF(VALUE(RIGHT($B$1,2))&gt;$A14,0,AVERAGEIFS(Elec_Off_Peak, 'Avoided AC'!$D:$D, $B14, 'Avoided AC'!$E:$E, "Summer") +
        INDEX(AEPS!$S$8:$S$37, MATCH($A14, 'General Inputs'!$F$3:$F$32, 0)) +
        OFFSET(DRIPE!$I$10, MATCH('LI Output'!$B14, DRIPE!$I$11:$I$30, 0), MATCH('LI Output'!$B$1, DRIPE!$J$10:$N$10, 0), 1, 1) +
        INDEX(Arrearages!C$5:J$24, MATCH($A14, Arrearages!$B$5:$B$24, 0), MATCH('General Inputs'!$C$2, Arrearages!$C$4:$J$4, 0))),"Data Missing")</f>
        <v>73.12381653192368</v>
      </c>
      <c r="E14" s="15">
        <f ca="1">IFERROR(IF(VALUE(RIGHT($B$1,2))&gt;$A14,0,AVERAGEIFS(Elec_On_Peak, 'Avoided AC'!$D:$D, $B14, 'Avoided AC'!$E:$E, "Winter") +
        INDEX(AEPS!$S$8:$S$37, MATCH($A14, 'General Inputs'!$F$3:$F$32, 0)) +
        OFFSET(DRIPE!$I$10, MATCH('LI Output'!$B14, DRIPE!$I$11:$I$30, 0), MATCH('LI Output'!$B$1, DRIPE!$J$10:$N$10, 0), 1, 1) +
        INDEX(Arrearages!C$5:J$24, MATCH($A14, Arrearages!$B$5:$B$24, 0), MATCH('General Inputs'!$C$2, Arrearages!$C$4:$J$4, 0))),"Data Missing")</f>
        <v>124.71159132922962</v>
      </c>
      <c r="F14" s="15">
        <f ca="1">IFERROR(IF(VALUE(RIGHT($B$1,2))&gt;$A14,0,AVERAGEIFS(Elec_Off_Peak, 'Avoided AC'!$D:$D, $B14, 'Avoided AC'!$E:$E, "Winter") +
        INDEX(AEPS!$S$8:$S$37, MATCH($A14, 'General Inputs'!$F$3:$F$32, 0)) +
        OFFSET(DRIPE!$I$10, MATCH('LI Output'!$B14, DRIPE!$I$11:$I$30, 0), MATCH('LI Output'!$B$1, DRIPE!$J$10:$N$10, 0), 1, 1) +
        INDEX(Arrearages!C$5:J$24, MATCH($A14, Arrearages!$B$5:$B$24, 0), MATCH('General Inputs'!$C$2, Arrearages!$C$4:$J$4, 0))),"Data Missing")</f>
        <v>106.02437141607557</v>
      </c>
      <c r="G14" s="15">
        <f ca="1">IFERROR(IF(VALUE(RIGHT($B$1,2))&gt;$A14,0,AVERAGEIFS(Elec_On_Peak, 'Avoided AC'!$D:$D, $B14, 'Avoided AC'!$E:$E, "Shoulder") +
        INDEX(AEPS!$S$8:$S$37, MATCH($A14, 'General Inputs'!$F$3:$F$32, 0)) +
        OFFSET(DRIPE!$I$10, MATCH('LI Output'!$B14, DRIPE!$I$11:$I$30, 0), MATCH('LI Output'!$B$1, DRIPE!$J$10:$N$10, 0), 1, 1) +
        INDEX(Arrearages!C$5:J$24, MATCH($A14, Arrearages!$B$5:$B$24, 0), MATCH('General Inputs'!$C$2, Arrearages!$C$4:$J$4, 0))),"Data Missing")</f>
        <v>93.708604669807769</v>
      </c>
      <c r="H14" s="15">
        <f ca="1">IFERROR(IF(VALUE(RIGHT($B$1,2))&gt;$A14,0,AVERAGEIFS(Elec_Off_Peak, 'Avoided AC'!$D:$D, $B14, 'Avoided AC'!$E:$E, "Shoulder") +
        INDEX(AEPS!$S$8:$S$37, MATCH($A14, 'General Inputs'!$F$3:$F$32, 0)) +
        OFFSET(DRIPE!$I$10, MATCH('LI Output'!$B14, DRIPE!$I$11:$I$30, 0), MATCH('LI Output'!$B$1, DRIPE!$J$10:$N$10, 0), 1, 1) +
        INDEX(Arrearages!C$5:J$24, MATCH($A14, Arrearages!$B$5:$B$24, 0), MATCH('General Inputs'!$C$2, Arrearages!$C$4:$J$4, 0))),"Data Missing")</f>
        <v>77.551112186683838</v>
      </c>
      <c r="I14" s="15">
        <f ca="1">(IF(VALUE(RIGHT($B$1,2))&gt;$A14,0,INDEX('Generation Capacity'!$E$27:$K$48,MATCH($A14,'Generation Capacity'!$B$27:$B$48,FALSE),MATCH(EDC_NAME,'Generation Capacity'!$E$26:$K$26,FALSE))+
        OFFSET(DRIPE!$B$35,MATCH('LI Output'!$B14,DRIPE!$B$11:$B$30,0),MATCH('LI Output'!$B$1,DRIPE!$C$10:$G$10,0),1,1)))</f>
        <v>30.626382139860866</v>
      </c>
      <c r="J14" s="15">
        <f ca="1">(IF(VALUE(RIGHT($B$1,2))&gt;$A14,0,INDEX('Generation Capacity'!$E$27:$K$48,MATCH($A14,'Generation Capacity'!$B$27:$B$48,FALSE),MATCH(EDC_NAME,'Generation Capacity'!$E$26:$K$26,FALSE))+
        OFFSET(DRIPE!$I$35,MATCH('LI Output'!$B14,DRIPE!$B$11:$B$30,0),MATCH('LI Output'!$B$1,DRIPE!$C$10:$G$10,0),1,1)))</f>
        <v>30.626382139860866</v>
      </c>
      <c r="K14" s="15">
        <f ca="1">IFERROR(IF(VALUE(RIGHT($B$1,2))&gt;$A14,0,INDEX('T&amp;D Capacity'!$E$4:$K$23,MATCH($A14,'T&amp;D Capacity'!$B$4:$B$23,FALSE),MATCH(EDC_NAME,'T&amp;D Capacity'!$E$3:$K$3,FALSE))),0)</f>
        <v>10.61811872230064</v>
      </c>
      <c r="L14" s="15">
        <f ca="1">IFERROR(IF(VALUE(RIGHT($B$1,2))&gt;$A14,0,INDEX('T&amp;D Capacity'!$E$28:$K$47,MATCH($A14,'T&amp;D Capacity'!$B$28:$B$47,FALSE),MATCH(EDC_NAME,'T&amp;D Capacity'!$E$27:$K$27,FALSE))),0)</f>
        <v>10.61811872230064</v>
      </c>
      <c r="M14" s="15">
        <f ca="1">IFERROR(IF(VALUE(RIGHT($B$1,2))&gt;$A14,0,INDEX('T&amp;D Capacity'!$M$4:$S$23,MATCH($A14,'T&amp;D Capacity'!$B$4:$B$23,FALSE),MATCH(EDC_NAME,'T&amp;D Capacity'!$M$3:$S$3,FALSE))),0)</f>
        <v>68.909010658862414</v>
      </c>
      <c r="N14" s="15">
        <f ca="1">IFERROR(IF(VALUE(RIGHT($B$1,2))&gt;$A14,0,INDEX('T&amp;D Capacity'!$M$28:$S$47,MATCH($A14,'T&amp;D Capacity'!$B$28:$B$47,FALSE),MATCH(EDC_NAME,'T&amp;D Capacity'!$M$27:$S$27,FALSE))),0)</f>
        <v>9.9922839332327538</v>
      </c>
      <c r="O14" s="16">
        <f>IFERROR(IF(VALUE(RIGHT($B$1,2))&gt;$A14,0,IFERROR(AVERAGEIF('NG Futures'!$E:$E,$B14,'NG Futures'!$I:$I),"Data Missing")),0)</f>
        <v>4.5669539736620006</v>
      </c>
      <c r="P14" s="322"/>
      <c r="Q14" s="65"/>
      <c r="AF14" s="83"/>
      <c r="AG14" s="83"/>
      <c r="AH14" s="83"/>
      <c r="AI14" s="83"/>
      <c r="AJ14" s="83"/>
      <c r="AK14" s="83"/>
      <c r="AL14" s="83"/>
      <c r="AM14" s="83"/>
      <c r="AN14" s="83"/>
      <c r="AO14" s="83"/>
      <c r="AP14" s="83"/>
      <c r="AQ14" s="83"/>
      <c r="AR14" s="83"/>
      <c r="AS14" s="83"/>
      <c r="AT14" s="83"/>
    </row>
    <row r="15" spans="1:52" ht="15" customHeight="1" x14ac:dyDescent="0.25">
      <c r="A15" s="124">
        <f t="shared" si="0"/>
        <v>28</v>
      </c>
      <c r="B15" s="124">
        <f t="shared" si="0"/>
        <v>2037</v>
      </c>
      <c r="C15" s="122">
        <f ca="1">IFERROR(IF(VALUE(RIGHT($B$1,2))&gt;$A15,0,AVERAGEIFS(Elec_On_Peak, 'Avoided AC'!$D:$D, $B15, 'Avoided AC'!$E:$E, "Summer") +
        INDEX(AEPS!$S$8:$S$37, MATCH($A15, 'General Inputs'!$F$3:$F$32, 0)) +
        OFFSET(DRIPE!$I$10, MATCH('LI Output'!$B15, DRIPE!$I$11:$I$30, 0), MATCH('LI Output'!$B$1, DRIPE!$J$10:$N$10, 0), 1, 1) +
        INDEX(Arrearages!C$5:J$24, MATCH($A15, Arrearages!$B$5:$B$24, 0), MATCH('General Inputs'!$C$2, Arrearages!$C$4:$J$4, 0))),"Data Missing")</f>
        <v>108.14498023722658</v>
      </c>
      <c r="D15" s="17">
        <f ca="1">IFERROR(IF(VALUE(RIGHT($B$1,2))&gt;$A15,0,AVERAGEIFS(Elec_Off_Peak, 'Avoided AC'!$D:$D, $B15, 'Avoided AC'!$E:$E, "Summer") +
        INDEX(AEPS!$S$8:$S$37, MATCH($A15, 'General Inputs'!$F$3:$F$32, 0)) +
        OFFSET(DRIPE!$I$10, MATCH('LI Output'!$B15, DRIPE!$I$11:$I$30, 0), MATCH('LI Output'!$B$1, DRIPE!$J$10:$N$10, 0), 1, 1) +
        INDEX(Arrearages!C$5:J$24, MATCH($A15, Arrearages!$B$5:$B$24, 0), MATCH('General Inputs'!$C$2, Arrearages!$C$4:$J$4, 0))),"Data Missing")</f>
        <v>74.684973115619727</v>
      </c>
      <c r="E15" s="17">
        <f ca="1">IFERROR(IF(VALUE(RIGHT($B$1,2))&gt;$A15,0,AVERAGEIFS(Elec_On_Peak, 'Avoided AC'!$D:$D, $B15, 'Avoided AC'!$E:$E, "Winter") +
        INDEX(AEPS!$S$8:$S$37, MATCH($A15, 'General Inputs'!$F$3:$F$32, 0)) +
        OFFSET(DRIPE!$I$10, MATCH('LI Output'!$B15, DRIPE!$I$11:$I$30, 0), MATCH('LI Output'!$B$1, DRIPE!$J$10:$N$10, 0), 1, 1) +
        INDEX(Arrearages!C$5:J$24, MATCH($A15, Arrearages!$B$5:$B$24, 0), MATCH('General Inputs'!$C$2, Arrearages!$C$4:$J$4, 0))),"Data Missing")</f>
        <v>128.32637543752634</v>
      </c>
      <c r="F15" s="17">
        <f ca="1">IFERROR(IF(VALUE(RIGHT($B$1,2))&gt;$A15,0,AVERAGEIFS(Elec_Off_Peak, 'Avoided AC'!$D:$D, $B15, 'Avoided AC'!$E:$E, "Winter") +
        INDEX(AEPS!$S$8:$S$37, MATCH($A15, 'General Inputs'!$F$3:$F$32, 0)) +
        OFFSET(DRIPE!$I$10, MATCH('LI Output'!$B15, DRIPE!$I$11:$I$30, 0), MATCH('LI Output'!$B$1, DRIPE!$J$10:$N$10, 0), 1, 1) +
        INDEX(Arrearages!C$5:J$24, MATCH($A15, Arrearages!$B$5:$B$24, 0), MATCH('General Inputs'!$C$2, Arrearages!$C$4:$J$4, 0))),"Data Missing")</f>
        <v>108.69967715704045</v>
      </c>
      <c r="G15" s="17">
        <f ca="1">IFERROR(IF(VALUE(RIGHT($B$1,2))&gt;$A15,0,AVERAGEIFS(Elec_On_Peak, 'Avoided AC'!$D:$D, $B15, 'Avoided AC'!$E:$E, "Shoulder") +
        INDEX(AEPS!$S$8:$S$37, MATCH($A15, 'General Inputs'!$F$3:$F$32, 0)) +
        OFFSET(DRIPE!$I$10, MATCH('LI Output'!$B15, DRIPE!$I$11:$I$30, 0), MATCH('LI Output'!$B$1, DRIPE!$J$10:$N$10, 0), 1, 1) +
        INDEX(Arrearages!C$5:J$24, MATCH($A15, Arrearages!$B$5:$B$24, 0), MATCH('General Inputs'!$C$2, Arrearages!$C$4:$J$4, 0))),"Data Missing")</f>
        <v>95.852726665662999</v>
      </c>
      <c r="H15" s="17">
        <f ca="1">IFERROR(IF(VALUE(RIGHT($B$1,2))&gt;$A15,0,AVERAGEIFS(Elec_Off_Peak, 'Avoided AC'!$D:$D, $B15, 'Avoided AC'!$E:$E, "Shoulder") +
        INDEX(AEPS!$S$8:$S$37, MATCH($A15, 'General Inputs'!$F$3:$F$32, 0)) +
        OFFSET(DRIPE!$I$10, MATCH('LI Output'!$B15, DRIPE!$I$11:$I$30, 0), MATCH('LI Output'!$B$1, DRIPE!$J$10:$N$10, 0), 1, 1) +
        INDEX(Arrearages!C$5:J$24, MATCH($A15, Arrearages!$B$5:$B$24, 0), MATCH('General Inputs'!$C$2, Arrearages!$C$4:$J$4, 0))),"Data Missing")</f>
        <v>79.213621063994552</v>
      </c>
      <c r="I15" s="17">
        <f ca="1">(IF(VALUE(RIGHT($B$1,2))&gt;$A15,0,INDEX('Generation Capacity'!$E$27:$K$48,MATCH($A15,'Generation Capacity'!$B$27:$B$48,FALSE),MATCH(EDC_NAME,'Generation Capacity'!$E$26:$K$26,FALSE))+
        OFFSET(DRIPE!$B$35,MATCH('LI Output'!$B15,DRIPE!$B$11:$B$30,0),MATCH('LI Output'!$B$1,DRIPE!$C$10:$G$10,0),1,1)))</f>
        <v>31.260820928258536</v>
      </c>
      <c r="J15" s="17">
        <f ca="1">(IF(VALUE(RIGHT($B$1,2))&gt;$A15,0,INDEX('Generation Capacity'!$E$27:$K$48,MATCH($A15,'Generation Capacity'!$B$27:$B$48,FALSE),MATCH(EDC_NAME,'Generation Capacity'!$E$26:$K$26,FALSE))+
        OFFSET(DRIPE!$I$35,MATCH('LI Output'!$B15,DRIPE!$B$11:$B$30,0),MATCH('LI Output'!$B$1,DRIPE!$C$10:$G$10,0),1,1)))</f>
        <v>31.260820928258536</v>
      </c>
      <c r="K15" s="17">
        <f ca="1">IFERROR(IF(VALUE(RIGHT($B$1,2))&gt;$A15,0,INDEX('T&amp;D Capacity'!$E$4:$K$23,MATCH($A15,'T&amp;D Capacity'!$B$4:$B$23,FALSE),MATCH(EDC_NAME,'T&amp;D Capacity'!$E$3:$K$3,FALSE))),0)</f>
        <v>10.838077656610132</v>
      </c>
      <c r="L15" s="17">
        <f ca="1">IFERROR(IF(VALUE(RIGHT($B$1,2))&gt;$A15,0,INDEX('T&amp;D Capacity'!$E$28:$K$47,MATCH($A15,'T&amp;D Capacity'!$B$28:$B$47,FALSE),MATCH(EDC_NAME,'T&amp;D Capacity'!$E$27:$K$27,FALSE))),0)</f>
        <v>10.838077656610132</v>
      </c>
      <c r="M15" s="17">
        <f ca="1">IFERROR(IF(VALUE(RIGHT($B$1,2))&gt;$A15,0,INDEX('T&amp;D Capacity'!$M$4:$S$23,MATCH($A15,'T&amp;D Capacity'!$B$4:$B$23,FALSE),MATCH(EDC_NAME,'T&amp;D Capacity'!$M$3:$S$3,FALSE))),0)</f>
        <v>70.336490699842841</v>
      </c>
      <c r="N15" s="17">
        <f ca="1">IFERROR(IF(VALUE(RIGHT($B$1,2))&gt;$A15,0,INDEX('T&amp;D Capacity'!$M$28:$S$47,MATCH($A15,'T&amp;D Capacity'!$B$28:$B$47,FALSE),MATCH(EDC_NAME,'T&amp;D Capacity'!$M$27:$S$27,FALSE))),0)</f>
        <v>10.199278428468112</v>
      </c>
      <c r="O15" s="18">
        <f>IFERROR(IF(VALUE(RIGHT($B$1,2))&gt;$A15,0,IFERROR(AVERAGEIF('NG Futures'!$E:$E,$B15,'NG Futures'!$I:$I),"Data Missing")),0)</f>
        <v>4.7349761155534029</v>
      </c>
      <c r="P15" s="323" t="s">
        <v>129</v>
      </c>
      <c r="Q15" s="65"/>
      <c r="AF15" s="83"/>
      <c r="AG15" s="83"/>
      <c r="AH15" s="83"/>
      <c r="AI15" s="83"/>
      <c r="AJ15" s="83"/>
      <c r="AK15" s="83"/>
      <c r="AL15" s="83"/>
      <c r="AM15" s="83"/>
      <c r="AN15" s="83"/>
      <c r="AO15" s="83"/>
      <c r="AP15" s="83"/>
      <c r="AQ15" s="83"/>
      <c r="AR15" s="83"/>
      <c r="AS15" s="83"/>
      <c r="AT15" s="83"/>
    </row>
    <row r="16" spans="1:52" ht="15" customHeight="1" x14ac:dyDescent="0.25">
      <c r="A16" s="124">
        <f t="shared" si="0"/>
        <v>29</v>
      </c>
      <c r="B16" s="124">
        <f t="shared" si="0"/>
        <v>2038</v>
      </c>
      <c r="C16" s="122">
        <f ca="1">IFERROR(IF(VALUE(RIGHT($B$1,2))&gt;$A16,0,AVERAGEIFS(Elec_On_Peak, 'Avoided AC'!$D:$D, $B16, 'Avoided AC'!$E:$E, "Summer") +
        INDEX(AEPS!$S$8:$S$37, MATCH($A16, 'General Inputs'!$F$3:$F$32, 0)) +
        OFFSET(DRIPE!$I$10, MATCH('LI Output'!$B16, DRIPE!$I$11:$I$30, 0), MATCH('LI Output'!$B$1, DRIPE!$J$10:$N$10, 0), 1, 1) +
        INDEX(Arrearages!C$5:J$24, MATCH($A16, Arrearages!$B$5:$B$24, 0), MATCH('General Inputs'!$C$2, Arrearages!$C$4:$J$4, 0))),"Data Missing")</f>
        <v>107.97700169126259</v>
      </c>
      <c r="D16" s="17">
        <f ca="1">IFERROR(IF(VALUE(RIGHT($B$1,2))&gt;$A16,0,AVERAGEIFS(Elec_Off_Peak, 'Avoided AC'!$D:$D, $B16, 'Avoided AC'!$E:$E, "Summer") +
        INDEX(AEPS!$S$8:$S$37, MATCH($A16, 'General Inputs'!$F$3:$F$32, 0)) +
        OFFSET(DRIPE!$I$10, MATCH('LI Output'!$B16, DRIPE!$I$11:$I$30, 0), MATCH('LI Output'!$B$1, DRIPE!$J$10:$N$10, 0), 1, 1) +
        INDEX(Arrearages!C$5:J$24, MATCH($A16, Arrearages!$B$5:$B$24, 0), MATCH('General Inputs'!$C$2, Arrearages!$C$4:$J$4, 0))),"Data Missing")</f>
        <v>74.758932467007128</v>
      </c>
      <c r="E16" s="17">
        <f ca="1">IFERROR(IF(VALUE(RIGHT($B$1,2))&gt;$A16,0,AVERAGEIFS(Elec_On_Peak, 'Avoided AC'!$D:$D, $B16, 'Avoided AC'!$E:$E, "Winter") +
        INDEX(AEPS!$S$8:$S$37, MATCH($A16, 'General Inputs'!$F$3:$F$32, 0)) +
        OFFSET(DRIPE!$I$10, MATCH('LI Output'!$B16, DRIPE!$I$11:$I$30, 0), MATCH('LI Output'!$B$1, DRIPE!$J$10:$N$10, 0), 1, 1) +
        INDEX(Arrearages!C$5:J$24, MATCH($A16, Arrearages!$B$5:$B$24, 0), MATCH('General Inputs'!$C$2, Arrearages!$C$4:$J$4, 0))),"Data Missing")</f>
        <v>127.0446302183162</v>
      </c>
      <c r="F16" s="17">
        <f ca="1">IFERROR(IF(VALUE(RIGHT($B$1,2))&gt;$A16,0,AVERAGEIFS(Elec_Off_Peak, 'Avoided AC'!$D:$D, $B16, 'Avoided AC'!$E:$E, "Winter") +
        INDEX(AEPS!$S$8:$S$37, MATCH($A16, 'General Inputs'!$F$3:$F$32, 0)) +
        OFFSET(DRIPE!$I$10, MATCH('LI Output'!$B16, DRIPE!$I$11:$I$30, 0), MATCH('LI Output'!$B$1, DRIPE!$J$10:$N$10, 0), 1, 1) +
        INDEX(Arrearages!C$5:J$24, MATCH($A16, Arrearages!$B$5:$B$24, 0), MATCH('General Inputs'!$C$2, Arrearages!$C$4:$J$4, 0))),"Data Missing")</f>
        <v>108.00662185294482</v>
      </c>
      <c r="G16" s="17">
        <f ca="1">IFERROR(IF(VALUE(RIGHT($B$1,2))&gt;$A16,0,AVERAGEIFS(Elec_On_Peak, 'Avoided AC'!$D:$D, $B16, 'Avoided AC'!$E:$E, "Shoulder") +
        INDEX(AEPS!$S$8:$S$37, MATCH($A16, 'General Inputs'!$F$3:$F$32, 0)) +
        OFFSET(DRIPE!$I$10, MATCH('LI Output'!$B16, DRIPE!$I$11:$I$30, 0), MATCH('LI Output'!$B$1, DRIPE!$J$10:$N$10, 0), 1, 1) +
        INDEX(Arrearages!C$5:J$24, MATCH($A16, Arrearages!$B$5:$B$24, 0), MATCH('General Inputs'!$C$2, Arrearages!$C$4:$J$4, 0))),"Data Missing")</f>
        <v>95.566735429649896</v>
      </c>
      <c r="H16" s="17">
        <f ca="1">IFERROR(IF(VALUE(RIGHT($B$1,2))&gt;$A16,0,AVERAGEIFS(Elec_Off_Peak, 'Avoided AC'!$D:$D, $B16, 'Avoided AC'!$E:$E, "Shoulder") +
        INDEX(AEPS!$S$8:$S$37, MATCH($A16, 'General Inputs'!$F$3:$F$32, 0)) +
        OFFSET(DRIPE!$I$10, MATCH('LI Output'!$B16, DRIPE!$I$11:$I$30, 0), MATCH('LI Output'!$B$1, DRIPE!$J$10:$N$10, 0), 1, 1) +
        INDEX(Arrearages!C$5:J$24, MATCH($A16, Arrearages!$B$5:$B$24, 0), MATCH('General Inputs'!$C$2, Arrearages!$C$4:$J$4, 0))),"Data Missing")</f>
        <v>79.206308938173123</v>
      </c>
      <c r="I16" s="17">
        <f ca="1">(IF(VALUE(RIGHT($B$1,2))&gt;$A16,0,INDEX('Generation Capacity'!$E$27:$K$48,MATCH($A16,'Generation Capacity'!$B$27:$B$48,FALSE),MATCH(EDC_NAME,'Generation Capacity'!$E$26:$K$26,FALSE))+
        OFFSET(DRIPE!$B$35,MATCH('LI Output'!$B16,DRIPE!$B$11:$B$30,0),MATCH('LI Output'!$B$1,DRIPE!$C$10:$G$10,0),1,1)))</f>
        <v>31.908402391307927</v>
      </c>
      <c r="J16" s="17">
        <f ca="1">(IF(VALUE(RIGHT($B$1,2))&gt;$A16,0,INDEX('Generation Capacity'!$E$27:$K$48,MATCH($A16,'Generation Capacity'!$B$27:$B$48,FALSE),MATCH(EDC_NAME,'Generation Capacity'!$E$26:$K$26,FALSE))+
        OFFSET(DRIPE!$I$35,MATCH('LI Output'!$B16,DRIPE!$B$11:$B$30,0),MATCH('LI Output'!$B$1,DRIPE!$C$10:$G$10,0),1,1)))</f>
        <v>31.908402391307927</v>
      </c>
      <c r="K16" s="17">
        <f ca="1">IFERROR(IF(VALUE(RIGHT($B$1,2))&gt;$A16,0,INDEX('T&amp;D Capacity'!$E$4:$K$23,MATCH($A16,'T&amp;D Capacity'!$B$4:$B$23,FALSE),MATCH(EDC_NAME,'T&amp;D Capacity'!$E$3:$K$3,FALSE))),0)</f>
        <v>11.062593135637941</v>
      </c>
      <c r="L16" s="17">
        <f ca="1">IFERROR(IF(VALUE(RIGHT($B$1,2))&gt;$A16,0,INDEX('T&amp;D Capacity'!$E$28:$K$47,MATCH($A16,'T&amp;D Capacity'!$B$28:$B$47,FALSE),MATCH(EDC_NAME,'T&amp;D Capacity'!$E$27:$K$27,FALSE))),0)</f>
        <v>11.062593135637941</v>
      </c>
      <c r="M16" s="17">
        <f ca="1">IFERROR(IF(VALUE(RIGHT($B$1,2))&gt;$A16,0,INDEX('T&amp;D Capacity'!$M$4:$S$23,MATCH($A16,'T&amp;D Capacity'!$B$4:$B$23,FALSE),MATCH(EDC_NAME,'T&amp;D Capacity'!$M$3:$S$3,FALSE))),0)</f>
        <v>71.793541608956687</v>
      </c>
      <c r="N16" s="17">
        <f ca="1">IFERROR(IF(VALUE(RIGHT($B$1,2))&gt;$A16,0,INDEX('T&amp;D Capacity'!$M$28:$S$47,MATCH($A16,'T&amp;D Capacity'!$B$28:$B$47,FALSE),MATCH(EDC_NAME,'T&amp;D Capacity'!$M$27:$S$27,FALSE))),0)</f>
        <v>10.410560904443814</v>
      </c>
      <c r="O16" s="18">
        <f>IFERROR(IF(VALUE(RIGHT($B$1,2))&gt;$A16,0,IFERROR(AVERAGEIF('NG Futures'!$E:$E,$B16,'NG Futures'!$I:$I),"Data Missing")),0)</f>
        <v>4.6357120000208072</v>
      </c>
      <c r="P16" s="324"/>
      <c r="Q16" s="65"/>
      <c r="AF16" s="83"/>
      <c r="AG16" s="83"/>
      <c r="AH16" s="83"/>
      <c r="AI16" s="83"/>
      <c r="AJ16" s="83"/>
      <c r="AK16" s="83"/>
      <c r="AL16" s="83"/>
      <c r="AM16" s="83"/>
      <c r="AN16" s="83"/>
      <c r="AO16" s="83"/>
      <c r="AP16" s="83"/>
      <c r="AQ16" s="83"/>
      <c r="AR16" s="83"/>
      <c r="AS16" s="83"/>
      <c r="AT16" s="83"/>
    </row>
    <row r="17" spans="1:46" ht="15" customHeight="1" x14ac:dyDescent="0.25">
      <c r="A17" s="124">
        <f t="shared" si="0"/>
        <v>30</v>
      </c>
      <c r="B17" s="124">
        <f t="shared" si="0"/>
        <v>2039</v>
      </c>
      <c r="C17" s="122">
        <f ca="1">IFERROR(IF(VALUE(RIGHT($B$1,2))&gt;$A17,0,AVERAGEIFS(Elec_On_Peak, 'Avoided AC'!$D:$D, $B17, 'Avoided AC'!$E:$E, "Summer") +
        INDEX(AEPS!$S$8:$S$37, MATCH($A17, 'General Inputs'!$F$3:$F$32, 0)) +
        OFFSET(DRIPE!$I$10, MATCH('LI Output'!$B17, DRIPE!$I$11:$I$30, 0), MATCH('LI Output'!$B$1, DRIPE!$J$10:$N$10, 0), 1, 1) +
        INDEX(Arrearages!C$5:J$24, MATCH($A17, Arrearages!$B$5:$B$24, 0), MATCH('General Inputs'!$C$2, Arrearages!$C$4:$J$4, 0))),"Data Missing")</f>
        <v>108.00936567689774</v>
      </c>
      <c r="D17" s="17">
        <f ca="1">IFERROR(IF(VALUE(RIGHT($B$1,2))&gt;$A17,0,AVERAGEIFS(Elec_Off_Peak, 'Avoided AC'!$D:$D, $B17, 'Avoided AC'!$E:$E, "Summer") +
        INDEX(AEPS!$S$8:$S$37, MATCH($A17, 'General Inputs'!$F$3:$F$32, 0)) +
        OFFSET(DRIPE!$I$10, MATCH('LI Output'!$B17, DRIPE!$I$11:$I$30, 0), MATCH('LI Output'!$B$1, DRIPE!$J$10:$N$10, 0), 1, 1) +
        INDEX(Arrearages!C$5:J$24, MATCH($A17, Arrearages!$B$5:$B$24, 0), MATCH('General Inputs'!$C$2, Arrearages!$C$4:$J$4, 0))),"Data Missing")</f>
        <v>74.974653976476645</v>
      </c>
      <c r="E17" s="17">
        <f ca="1">IFERROR(IF(VALUE(RIGHT($B$1,2))&gt;$A17,0,AVERAGEIFS(Elec_On_Peak, 'Avoided AC'!$D:$D, $B17, 'Avoided AC'!$E:$E, "Winter") +
        INDEX(AEPS!$S$8:$S$37, MATCH($A17, 'General Inputs'!$F$3:$F$32, 0)) +
        OFFSET(DRIPE!$I$10, MATCH('LI Output'!$B17, DRIPE!$I$11:$I$30, 0), MATCH('LI Output'!$B$1, DRIPE!$J$10:$N$10, 0), 1, 1) +
        INDEX(Arrearages!C$5:J$24, MATCH($A17, Arrearages!$B$5:$B$24, 0), MATCH('General Inputs'!$C$2, Arrearages!$C$4:$J$4, 0))),"Data Missing")</f>
        <v>126.23290362710769</v>
      </c>
      <c r="F17" s="17">
        <f ca="1">IFERROR(IF(VALUE(RIGHT($B$1,2))&gt;$A17,0,AVERAGEIFS(Elec_Off_Peak, 'Avoided AC'!$D:$D, $B17, 'Avoided AC'!$E:$E, "Winter") +
        INDEX(AEPS!$S$8:$S$37, MATCH($A17, 'General Inputs'!$F$3:$F$32, 0)) +
        OFFSET(DRIPE!$I$10, MATCH('LI Output'!$B17, DRIPE!$I$11:$I$30, 0), MATCH('LI Output'!$B$1, DRIPE!$J$10:$N$10, 0), 1, 1) +
        INDEX(Arrearages!C$5:J$24, MATCH($A17, Arrearages!$B$5:$B$24, 0), MATCH('General Inputs'!$C$2, Arrearages!$C$4:$J$4, 0))),"Data Missing")</f>
        <v>107.64104580831604</v>
      </c>
      <c r="G17" s="17">
        <f ca="1">IFERROR(IF(VALUE(RIGHT($B$1,2))&gt;$A17,0,AVERAGEIFS(Elec_On_Peak, 'Avoided AC'!$D:$D, $B17, 'Avoided AC'!$E:$E, "Shoulder") +
        INDEX(AEPS!$S$8:$S$37, MATCH($A17, 'General Inputs'!$F$3:$F$32, 0)) +
        OFFSET(DRIPE!$I$10, MATCH('LI Output'!$B17, DRIPE!$I$11:$I$30, 0), MATCH('LI Output'!$B$1, DRIPE!$J$10:$N$10, 0), 1, 1) +
        INDEX(Arrearages!C$5:J$24, MATCH($A17, Arrearages!$B$5:$B$24, 0), MATCH('General Inputs'!$C$2, Arrearages!$C$4:$J$4, 0))),"Data Missing")</f>
        <v>95.509661113698854</v>
      </c>
      <c r="H17" s="17">
        <f ca="1">IFERROR(IF(VALUE(RIGHT($B$1,2))&gt;$A17,0,AVERAGEIFS(Elec_Off_Peak, 'Avoided AC'!$D:$D, $B17, 'Avoided AC'!$E:$E, "Shoulder") +
        INDEX(AEPS!$S$8:$S$37, MATCH($A17, 'General Inputs'!$F$3:$F$32, 0)) +
        OFFSET(DRIPE!$I$10, MATCH('LI Output'!$B17, DRIPE!$I$11:$I$30, 0), MATCH('LI Output'!$B$1, DRIPE!$J$10:$N$10, 0), 1, 1) +
        INDEX(Arrearages!C$5:J$24, MATCH($A17, Arrearages!$B$5:$B$24, 0), MATCH('General Inputs'!$C$2, Arrearages!$C$4:$J$4, 0))),"Data Missing")</f>
        <v>79.360437216559362</v>
      </c>
      <c r="I17" s="17">
        <f ca="1">(IF(VALUE(RIGHT($B$1,2))&gt;$A17,0,INDEX('Generation Capacity'!$E$27:$K$48,MATCH($A17,'Generation Capacity'!$B$27:$B$48,FALSE),MATCH(EDC_NAME,'Generation Capacity'!$E$26:$K$26,FALSE))+
        OFFSET(DRIPE!$B$35,MATCH('LI Output'!$B17,DRIPE!$B$11:$B$30,0),MATCH('LI Output'!$B$1,DRIPE!$C$10:$G$10,0),1,1)))</f>
        <v>32.569398785214304</v>
      </c>
      <c r="J17" s="17">
        <f ca="1">(IF(VALUE(RIGHT($B$1,2))&gt;$A17,0,INDEX('Generation Capacity'!$E$27:$K$48,MATCH($A17,'Generation Capacity'!$B$27:$B$48,FALSE),MATCH(EDC_NAME,'Generation Capacity'!$E$26:$K$26,FALSE))+
        OFFSET(DRIPE!$I$35,MATCH('LI Output'!$B17,DRIPE!$B$11:$B$30,0),MATCH('LI Output'!$B$1,DRIPE!$C$10:$G$10,0),1,1)))</f>
        <v>32.569398785214304</v>
      </c>
      <c r="K17" s="17">
        <f ca="1">IFERROR(IF(VALUE(RIGHT($B$1,2))&gt;$A17,0,INDEX('T&amp;D Capacity'!$E$4:$K$23,MATCH($A17,'T&amp;D Capacity'!$B$4:$B$23,FALSE),MATCH(EDC_NAME,'T&amp;D Capacity'!$E$3:$K$3,FALSE))),0)</f>
        <v>11.291759550184038</v>
      </c>
      <c r="L17" s="17">
        <f ca="1">IFERROR(IF(VALUE(RIGHT($B$1,2))&gt;$A17,0,INDEX('T&amp;D Capacity'!$E$28:$K$47,MATCH($A17,'T&amp;D Capacity'!$B$28:$B$47,FALSE),MATCH(EDC_NAME,'T&amp;D Capacity'!$E$27:$K$27,FALSE))),0)</f>
        <v>11.291759550184038</v>
      </c>
      <c r="M17" s="17">
        <f ca="1">IFERROR(IF(VALUE(RIGHT($B$1,2))&gt;$A17,0,INDEX('T&amp;D Capacity'!$M$4:$S$23,MATCH($A17,'T&amp;D Capacity'!$B$4:$B$23,FALSE),MATCH(EDC_NAME,'T&amp;D Capacity'!$M$3:$S$3,FALSE))),0)</f>
        <v>73.280775959561936</v>
      </c>
      <c r="N17" s="17">
        <f ca="1">IFERROR(IF(VALUE(RIGHT($B$1,2))&gt;$A17,0,INDEX('T&amp;D Capacity'!$M$28:$S$47,MATCH($A17,'T&amp;D Capacity'!$B$28:$B$47,FALSE),MATCH(EDC_NAME,'T&amp;D Capacity'!$M$27:$S$27,FALSE))),0)</f>
        <v>10.626220188540552</v>
      </c>
      <c r="O17" s="18">
        <f>IFERROR(IF(VALUE(RIGHT($B$1,2))&gt;$A17,0,IFERROR(AVERAGEIF('NG Futures'!$E:$E,$B17,'NG Futures'!$I:$I),"Data Missing")),0)</f>
        <v>4.5604826844447048</v>
      </c>
      <c r="P17" s="324"/>
      <c r="Q17" s="65"/>
      <c r="AF17" s="83"/>
      <c r="AG17" s="83"/>
      <c r="AH17" s="83"/>
      <c r="AI17" s="83"/>
      <c r="AJ17" s="83"/>
      <c r="AK17" s="83"/>
      <c r="AL17" s="83"/>
      <c r="AM17" s="83"/>
      <c r="AN17" s="83"/>
      <c r="AO17" s="83"/>
      <c r="AP17" s="83"/>
      <c r="AQ17" s="83"/>
      <c r="AR17" s="83"/>
      <c r="AS17" s="83"/>
      <c r="AT17" s="83"/>
    </row>
    <row r="18" spans="1:46" ht="15" customHeight="1" x14ac:dyDescent="0.25">
      <c r="A18" s="124">
        <f t="shared" si="0"/>
        <v>31</v>
      </c>
      <c r="B18" s="124">
        <f t="shared" si="0"/>
        <v>2040</v>
      </c>
      <c r="C18" s="122">
        <f ca="1">IFERROR(IF(VALUE(RIGHT($B$1,2))&gt;$A18,0,AVERAGEIFS(Elec_On_Peak, 'Avoided AC'!$D:$D, $B18, 'Avoided AC'!$E:$E, "Summer") +
        INDEX(AEPS!$S$8:$S$37, MATCH($A18, 'General Inputs'!$F$3:$F$32, 0)) +
        OFFSET(DRIPE!$I$10, MATCH('LI Output'!$B18, DRIPE!$I$11:$I$30, 0), MATCH('LI Output'!$B$1, DRIPE!$J$10:$N$10, 0), 1, 1) +
        INDEX(Arrearages!C$5:J$24, MATCH($A18, Arrearages!$B$5:$B$24, 0), MATCH('General Inputs'!$C$2, Arrearages!$C$4:$J$4, 0))),"Data Missing")</f>
        <v>108.89398769395332</v>
      </c>
      <c r="D18" s="17">
        <f ca="1">IFERROR(IF(VALUE(RIGHT($B$1,2))&gt;$A18,0,AVERAGEIFS(Elec_Off_Peak, 'Avoided AC'!$D:$D, $B18, 'Avoided AC'!$E:$E, "Summer") +
        INDEX(AEPS!$S$8:$S$37, MATCH($A18, 'General Inputs'!$F$3:$F$32, 0)) +
        OFFSET(DRIPE!$I$10, MATCH('LI Output'!$B18, DRIPE!$I$11:$I$30, 0), MATCH('LI Output'!$B$1, DRIPE!$J$10:$N$10, 0), 1, 1) +
        INDEX(Arrearages!C$5:J$24, MATCH($A18, Arrearages!$B$5:$B$24, 0), MATCH('General Inputs'!$C$2, Arrearages!$C$4:$J$4, 0))),"Data Missing")</f>
        <v>75.781166368535537</v>
      </c>
      <c r="E18" s="17">
        <f ca="1">IFERROR(IF(VALUE(RIGHT($B$1,2))&gt;$A18,0,AVERAGEIFS(Elec_On_Peak, 'Avoided AC'!$D:$D, $B18, 'Avoided AC'!$E:$E, "Winter") +
        INDEX(AEPS!$S$8:$S$37, MATCH($A18, 'General Inputs'!$F$3:$F$32, 0)) +
        OFFSET(DRIPE!$I$10, MATCH('LI Output'!$B18, DRIPE!$I$11:$I$30, 0), MATCH('LI Output'!$B$1, DRIPE!$J$10:$N$10, 0), 1, 1) +
        INDEX(Arrearages!C$5:J$24, MATCH($A18, Arrearages!$B$5:$B$24, 0), MATCH('General Inputs'!$C$2, Arrearages!$C$4:$J$4, 0))),"Data Missing")</f>
        <v>127.47710509878132</v>
      </c>
      <c r="F18" s="17">
        <f ca="1">IFERROR(IF(VALUE(RIGHT($B$1,2))&gt;$A18,0,AVERAGEIFS(Elec_Off_Peak, 'Avoided AC'!$D:$D, $B18, 'Avoided AC'!$E:$E, "Winter") +
        INDEX(AEPS!$S$8:$S$37, MATCH($A18, 'General Inputs'!$F$3:$F$32, 0)) +
        OFFSET(DRIPE!$I$10, MATCH('LI Output'!$B18, DRIPE!$I$11:$I$30, 0), MATCH('LI Output'!$B$1, DRIPE!$J$10:$N$10, 0), 1, 1) +
        INDEX(Arrearages!C$5:J$24, MATCH($A18, Arrearages!$B$5:$B$24, 0), MATCH('General Inputs'!$C$2, Arrearages!$C$4:$J$4, 0))),"Data Missing")</f>
        <v>108.69518880212277</v>
      </c>
      <c r="G18" s="17">
        <f ca="1">IFERROR(IF(VALUE(RIGHT($B$1,2))&gt;$A18,0,AVERAGEIFS(Elec_On_Peak, 'Avoided AC'!$D:$D, $B18, 'Avoided AC'!$E:$E, "Shoulder") +
        INDEX(AEPS!$S$8:$S$37, MATCH($A18, 'General Inputs'!$F$3:$F$32, 0)) +
        OFFSET(DRIPE!$I$10, MATCH('LI Output'!$B18, DRIPE!$I$11:$I$30, 0), MATCH('LI Output'!$B$1, DRIPE!$J$10:$N$10, 0), 1, 1) +
        INDEX(Arrearages!C$5:J$24, MATCH($A18, Arrearages!$B$5:$B$24, 0), MATCH('General Inputs'!$C$2, Arrearages!$C$4:$J$4, 0))),"Data Missing")</f>
        <v>96.432383515462632</v>
      </c>
      <c r="H18" s="17">
        <f ca="1">IFERROR(IF(VALUE(RIGHT($B$1,2))&gt;$A18,0,AVERAGEIFS(Elec_Off_Peak, 'Avoided AC'!$D:$D, $B18, 'Avoided AC'!$E:$E, "Shoulder") +
        INDEX(AEPS!$S$8:$S$37, MATCH($A18, 'General Inputs'!$F$3:$F$32, 0)) +
        OFFSET(DRIPE!$I$10, MATCH('LI Output'!$B18, DRIPE!$I$11:$I$30, 0), MATCH('LI Output'!$B$1, DRIPE!$J$10:$N$10, 0), 1, 1) +
        INDEX(Arrearages!C$5:J$24, MATCH($A18, Arrearages!$B$5:$B$24, 0), MATCH('General Inputs'!$C$2, Arrearages!$C$4:$J$4, 0))),"Data Missing")</f>
        <v>80.193188096582332</v>
      </c>
      <c r="I18" s="17">
        <f ca="1">(IF(VALUE(RIGHT($B$1,2))&gt;$A18,0,INDEX('Generation Capacity'!$E$27:$K$48,MATCH($A18,'Generation Capacity'!$B$27:$B$48,FALSE),MATCH(EDC_NAME,'Generation Capacity'!$E$26:$K$26,FALSE))+
        OFFSET(DRIPE!$B$35,MATCH('LI Output'!$B18,DRIPE!$B$11:$B$30,0),MATCH('LI Output'!$B$1,DRIPE!$C$10:$G$10,0),1,1)))</f>
        <v>33.244088006088298</v>
      </c>
      <c r="J18" s="17">
        <f ca="1">(IF(VALUE(RIGHT($B$1,2))&gt;$A18,0,INDEX('Generation Capacity'!$E$27:$K$48,MATCH($A18,'Generation Capacity'!$B$27:$B$48,FALSE),MATCH(EDC_NAME,'Generation Capacity'!$E$26:$K$26,FALSE))+
        OFFSET(DRIPE!$I$35,MATCH('LI Output'!$B18,DRIPE!$B$11:$B$30,0),MATCH('LI Output'!$B$1,DRIPE!$C$10:$G$10,0),1,1)))</f>
        <v>33.244088006088298</v>
      </c>
      <c r="K18" s="17">
        <f ca="1">IFERROR(IF(VALUE(RIGHT($B$1,2))&gt;$A18,0,INDEX('T&amp;D Capacity'!$E$4:$K$23,MATCH($A18,'T&amp;D Capacity'!$B$4:$B$23,FALSE),MATCH(EDC_NAME,'T&amp;D Capacity'!$E$3:$K$3,FALSE))),0)</f>
        <v>11.525673246394749</v>
      </c>
      <c r="L18" s="17">
        <f ca="1">IFERROR(IF(VALUE(RIGHT($B$1,2))&gt;$A18,0,INDEX('T&amp;D Capacity'!$E$28:$K$47,MATCH($A18,'T&amp;D Capacity'!$B$28:$B$47,FALSE),MATCH(EDC_NAME,'T&amp;D Capacity'!$E$27:$K$27,FALSE))),0)</f>
        <v>11.525673246394749</v>
      </c>
      <c r="M18" s="17">
        <f ca="1">IFERROR(IF(VALUE(RIGHT($B$1,2))&gt;$A18,0,INDEX('T&amp;D Capacity'!$M$4:$S$23,MATCH($A18,'T&amp;D Capacity'!$B$4:$B$23,FALSE),MATCH(EDC_NAME,'T&amp;D Capacity'!$M$3:$S$3,FALSE))),0)</f>
        <v>74.798819014739365</v>
      </c>
      <c r="N18" s="17">
        <f ca="1">IFERROR(IF(VALUE(RIGHT($B$1,2))&gt;$A18,0,INDEX('T&amp;D Capacity'!$M$28:$S$47,MATCH($A18,'T&amp;D Capacity'!$B$28:$B$47,FALSE),MATCH(EDC_NAME,'T&amp;D Capacity'!$M$27:$S$27,FALSE))),0)</f>
        <v>10.846346948236732</v>
      </c>
      <c r="O18" s="18">
        <f>IFERROR(IF(VALUE(RIGHT($B$1,2))&gt;$A18,0,IFERROR(AVERAGEIF('NG Futures'!$E:$E,$B18,'NG Futures'!$I:$I),"Data Missing")),0)</f>
        <v>4.5925300938202467</v>
      </c>
      <c r="P18" s="324"/>
      <c r="Q18" s="65"/>
      <c r="AF18" s="83"/>
      <c r="AG18" s="83"/>
      <c r="AH18" s="83"/>
      <c r="AI18" s="83"/>
      <c r="AJ18" s="83"/>
      <c r="AK18" s="83"/>
      <c r="AL18" s="83"/>
      <c r="AM18" s="83"/>
      <c r="AN18" s="83"/>
      <c r="AO18" s="83"/>
      <c r="AP18" s="83"/>
      <c r="AQ18" s="83"/>
      <c r="AR18" s="83"/>
      <c r="AS18" s="83"/>
      <c r="AT18" s="83"/>
    </row>
    <row r="19" spans="1:46" ht="15" customHeight="1" x14ac:dyDescent="0.25">
      <c r="A19" s="124">
        <f t="shared" si="0"/>
        <v>32</v>
      </c>
      <c r="B19" s="124">
        <f t="shared" si="0"/>
        <v>2041</v>
      </c>
      <c r="C19" s="122">
        <f ca="1">IFERROR(IF(VALUE(RIGHT($B$1,2))&gt;$A19,0,AVERAGEIFS(Elec_On_Peak, 'Avoided AC'!$D:$D, $B19, 'Avoided AC'!$E:$E, "Summer") +
        INDEX(AEPS!$S$8:$S$37, MATCH($A19, 'General Inputs'!$F$3:$F$32, 0)) +
        OFFSET(DRIPE!$I$10, MATCH('LI Output'!$B19, DRIPE!$I$11:$I$30, 0), MATCH('LI Output'!$B$1, DRIPE!$J$10:$N$10, 0), 1, 1) +
        INDEX(Arrearages!C$5:J$24, MATCH($A19, Arrearages!$B$5:$B$24, 0), MATCH('General Inputs'!$C$2, Arrearages!$C$4:$J$4, 0))),"Data Missing")</f>
        <v>110.68050739041985</v>
      </c>
      <c r="D19" s="17">
        <f ca="1">IFERROR(IF(VALUE(RIGHT($B$1,2))&gt;$A19,0,AVERAGEIFS(Elec_Off_Peak, 'Avoided AC'!$D:$D, $B19, 'Avoided AC'!$E:$E, "Summer") +
        INDEX(AEPS!$S$8:$S$37, MATCH($A19, 'General Inputs'!$F$3:$F$32, 0)) +
        OFFSET(DRIPE!$I$10, MATCH('LI Output'!$B19, DRIPE!$I$11:$I$30, 0), MATCH('LI Output'!$B$1, DRIPE!$J$10:$N$10, 0), 1, 1) +
        INDEX(Arrearages!C$5:J$24, MATCH($A19, Arrearages!$B$5:$B$24, 0), MATCH('General Inputs'!$C$2, Arrearages!$C$4:$J$4, 0))),"Data Missing")</f>
        <v>77.212732217499507</v>
      </c>
      <c r="E19" s="17">
        <f ca="1">IFERROR(IF(VALUE(RIGHT($B$1,2))&gt;$A19,0,AVERAGEIFS(Elec_On_Peak, 'Avoided AC'!$D:$D, $B19, 'Avoided AC'!$E:$E, "Winter") +
        INDEX(AEPS!$S$8:$S$37, MATCH($A19, 'General Inputs'!$F$3:$F$32, 0)) +
        OFFSET(DRIPE!$I$10, MATCH('LI Output'!$B19, DRIPE!$I$11:$I$30, 0), MATCH('LI Output'!$B$1, DRIPE!$J$10:$N$10, 0), 1, 1) +
        INDEX(Arrearages!C$5:J$24, MATCH($A19, Arrearages!$B$5:$B$24, 0), MATCH('General Inputs'!$C$2, Arrearages!$C$4:$J$4, 0))),"Data Missing")</f>
        <v>130.89766299354926</v>
      </c>
      <c r="F19" s="17">
        <f ca="1">IFERROR(IF(VALUE(RIGHT($B$1,2))&gt;$A19,0,AVERAGEIFS(Elec_Off_Peak, 'Avoided AC'!$D:$D, $B19, 'Avoided AC'!$E:$E, "Winter") +
        INDEX(AEPS!$S$8:$S$37, MATCH($A19, 'General Inputs'!$F$3:$F$32, 0)) +
        OFFSET(DRIPE!$I$10, MATCH('LI Output'!$B19, DRIPE!$I$11:$I$30, 0), MATCH('LI Output'!$B$1, DRIPE!$J$10:$N$10, 0), 1, 1) +
        INDEX(Arrearages!C$5:J$24, MATCH($A19, Arrearages!$B$5:$B$24, 0), MATCH('General Inputs'!$C$2, Arrearages!$C$4:$J$4, 0))),"Data Missing")</f>
        <v>111.2520632779496</v>
      </c>
      <c r="G19" s="17">
        <f ca="1">IFERROR(IF(VALUE(RIGHT($B$1,2))&gt;$A19,0,AVERAGEIFS(Elec_On_Peak, 'Avoided AC'!$D:$D, $B19, 'Avoided AC'!$E:$E, "Shoulder") +
        INDEX(AEPS!$S$8:$S$37, MATCH($A19, 'General Inputs'!$F$3:$F$32, 0)) +
        OFFSET(DRIPE!$I$10, MATCH('LI Output'!$B19, DRIPE!$I$11:$I$30, 0), MATCH('LI Output'!$B$1, DRIPE!$J$10:$N$10, 0), 1, 1) +
        INDEX(Arrearages!C$5:J$24, MATCH($A19, Arrearages!$B$5:$B$24, 0), MATCH('General Inputs'!$C$2, Arrearages!$C$4:$J$4, 0))),"Data Missing")</f>
        <v>98.392042926069223</v>
      </c>
      <c r="H19" s="17">
        <f ca="1">IFERROR(IF(VALUE(RIGHT($B$1,2))&gt;$A19,0,AVERAGEIFS(Elec_Off_Peak, 'Avoided AC'!$D:$D, $B19, 'Avoided AC'!$E:$E, "Shoulder") +
        INDEX(AEPS!$S$8:$S$37, MATCH($A19, 'General Inputs'!$F$3:$F$32, 0)) +
        OFFSET(DRIPE!$I$10, MATCH('LI Output'!$B19, DRIPE!$I$11:$I$30, 0), MATCH('LI Output'!$B$1, DRIPE!$J$10:$N$10, 0), 1, 1) +
        INDEX(Arrearages!C$5:J$24, MATCH($A19, Arrearages!$B$5:$B$24, 0), MATCH('General Inputs'!$C$2, Arrearages!$C$4:$J$4, 0))),"Data Missing")</f>
        <v>81.7439895999985</v>
      </c>
      <c r="I19" s="17">
        <f ca="1">(IF(VALUE(RIGHT($B$1,2))&gt;$A19,0,INDEX('Generation Capacity'!$E$27:$K$48,MATCH($A19,'Generation Capacity'!$B$27:$B$48,FALSE),MATCH(EDC_NAME,'Generation Capacity'!$E$26:$K$26,FALSE))+
        OFFSET(DRIPE!$B$35,MATCH('LI Output'!$B19,DRIPE!$B$11:$B$30,0),MATCH('LI Output'!$B$1,DRIPE!$C$10:$G$10,0),1,1)))</f>
        <v>33.932753706778989</v>
      </c>
      <c r="J19" s="17">
        <f ca="1">(IF(VALUE(RIGHT($B$1,2))&gt;$A19,0,INDEX('Generation Capacity'!$E$27:$K$48,MATCH($A19,'Generation Capacity'!$B$27:$B$48,FALSE),MATCH(EDC_NAME,'Generation Capacity'!$E$26:$K$26,FALSE))+
        OFFSET(DRIPE!$I$35,MATCH('LI Output'!$B19,DRIPE!$B$11:$B$30,0),MATCH('LI Output'!$B$1,DRIPE!$C$10:$G$10,0),1,1)))</f>
        <v>33.932753706778989</v>
      </c>
      <c r="K19" s="17">
        <f ca="1">IFERROR(IF(VALUE(RIGHT($B$1,2))&gt;$A19,0,INDEX('T&amp;D Capacity'!$E$4:$K$23,MATCH($A19,'T&amp;D Capacity'!$B$4:$B$23,FALSE),MATCH(EDC_NAME,'T&amp;D Capacity'!$E$3:$K$3,FALSE))),0)</f>
        <v>11.76443256626861</v>
      </c>
      <c r="L19" s="17">
        <f ca="1">IFERROR(IF(VALUE(RIGHT($B$1,2))&gt;$A19,0,INDEX('T&amp;D Capacity'!$E$28:$K$47,MATCH($A19,'T&amp;D Capacity'!$B$28:$B$47,FALSE),MATCH(EDC_NAME,'T&amp;D Capacity'!$E$27:$K$27,FALSE))),0)</f>
        <v>11.76443256626861</v>
      </c>
      <c r="M19" s="17">
        <f ca="1">IFERROR(IF(VALUE(RIGHT($B$1,2))&gt;$A19,0,INDEX('T&amp;D Capacity'!$M$4:$S$23,MATCH($A19,'T&amp;D Capacity'!$B$4:$B$23,FALSE),MATCH(EDC_NAME,'T&amp;D Capacity'!$M$3:$S$3,FALSE))),0)</f>
        <v>76.34830899016562</v>
      </c>
      <c r="N19" s="17">
        <f ca="1">IFERROR(IF(VALUE(RIGHT($B$1,2))&gt;$A19,0,INDEX('T&amp;D Capacity'!$M$28:$S$47,MATCH($A19,'T&amp;D Capacity'!$B$28:$B$47,FALSE),MATCH(EDC_NAME,'T&amp;D Capacity'!$M$27:$S$27,FALSE))),0)</f>
        <v>11.071033729226899</v>
      </c>
      <c r="O19" s="18">
        <f>IFERROR(IF(VALUE(RIGHT($B$1,2))&gt;$A19,0,IFERROR(AVERAGEIF('NG Futures'!$E:$E,$B19,'NG Futures'!$I:$I),"Data Missing")),0)</f>
        <v>4.7381632505640319</v>
      </c>
      <c r="P19" s="324"/>
      <c r="Q19" s="65"/>
      <c r="AF19" s="83"/>
      <c r="AG19" s="83"/>
      <c r="AH19" s="83"/>
      <c r="AI19" s="83"/>
      <c r="AJ19" s="83"/>
      <c r="AK19" s="83"/>
      <c r="AL19" s="83"/>
      <c r="AM19" s="83"/>
      <c r="AN19" s="83"/>
      <c r="AO19" s="83"/>
      <c r="AP19" s="83"/>
      <c r="AQ19" s="83"/>
      <c r="AR19" s="83"/>
      <c r="AS19" s="83"/>
      <c r="AT19" s="83"/>
    </row>
    <row r="20" spans="1:46" ht="15" customHeight="1" x14ac:dyDescent="0.25">
      <c r="A20" s="124">
        <f t="shared" si="0"/>
        <v>33</v>
      </c>
      <c r="B20" s="124">
        <f t="shared" si="0"/>
        <v>2042</v>
      </c>
      <c r="C20" s="122">
        <f ca="1">IFERROR(IF(VALUE(RIGHT($B$1,2))&gt;$A20,0,AVERAGEIFS(Elec_On_Peak, 'Avoided AC'!$D:$D, $B20, 'Avoided AC'!$E:$E, "Summer") +
        INDEX(AEPS!$S$8:$S$37, MATCH($A20, 'General Inputs'!$F$3:$F$32, 0)) +
        OFFSET(DRIPE!$I$10, MATCH('LI Output'!$B20, DRIPE!$I$11:$I$30, 0), MATCH('LI Output'!$B$1, DRIPE!$J$10:$N$10, 0), 1, 1) +
        INDEX(Arrearages!C$5:J$24, MATCH($A20, Arrearages!$B$5:$B$24, 0), MATCH('General Inputs'!$C$2, Arrearages!$C$4:$J$4, 0))),"Data Missing")</f>
        <v>112.61371129665545</v>
      </c>
      <c r="D20" s="17">
        <f ca="1">IFERROR(IF(VALUE(RIGHT($B$1,2))&gt;$A20,0,AVERAGEIFS(Elec_Off_Peak, 'Avoided AC'!$D:$D, $B20, 'Avoided AC'!$E:$E, "Summer") +
        INDEX(AEPS!$S$8:$S$37, MATCH($A20, 'General Inputs'!$F$3:$F$32, 0)) +
        OFFSET(DRIPE!$I$10, MATCH('LI Output'!$B20, DRIPE!$I$11:$I$30, 0), MATCH('LI Output'!$B$1, DRIPE!$J$10:$N$10, 0), 1, 1) +
        INDEX(Arrearages!C$5:J$24, MATCH($A20, Arrearages!$B$5:$B$24, 0), MATCH('General Inputs'!$C$2, Arrearages!$C$4:$J$4, 0))),"Data Missing")</f>
        <v>78.749339645012867</v>
      </c>
      <c r="E20" s="17">
        <f ca="1">IFERROR(IF(VALUE(RIGHT($B$1,2))&gt;$A20,0,AVERAGEIFS(Elec_On_Peak, 'Avoided AC'!$D:$D, $B20, 'Avoided AC'!$E:$E, "Winter") +
        INDEX(AEPS!$S$8:$S$37, MATCH($A20, 'General Inputs'!$F$3:$F$32, 0)) +
        OFFSET(DRIPE!$I$10, MATCH('LI Output'!$B20, DRIPE!$I$11:$I$30, 0), MATCH('LI Output'!$B$1, DRIPE!$J$10:$N$10, 0), 1, 1) +
        INDEX(Arrearages!C$5:J$24, MATCH($A20, Arrearages!$B$5:$B$24, 0), MATCH('General Inputs'!$C$2, Arrearages!$C$4:$J$4, 0))),"Data Missing")</f>
        <v>134.65660790837964</v>
      </c>
      <c r="F20" s="17">
        <f ca="1">IFERROR(IF(VALUE(RIGHT($B$1,2))&gt;$A20,0,AVERAGEIFS(Elec_Off_Peak, 'Avoided AC'!$D:$D, $B20, 'Avoided AC'!$E:$E, "Winter") +
        INDEX(AEPS!$S$8:$S$37, MATCH($A20, 'General Inputs'!$F$3:$F$32, 0)) +
        OFFSET(DRIPE!$I$10, MATCH('LI Output'!$B20, DRIPE!$I$11:$I$30, 0), MATCH('LI Output'!$B$1, DRIPE!$J$10:$N$10, 0), 1, 1) +
        INDEX(Arrearages!C$5:J$24, MATCH($A20, Arrearages!$B$5:$B$24, 0), MATCH('General Inputs'!$C$2, Arrearages!$C$4:$J$4, 0))),"Data Missing")</f>
        <v>114.04599878354874</v>
      </c>
      <c r="G20" s="17">
        <f ca="1">IFERROR(IF(VALUE(RIGHT($B$1,2))&gt;$A20,0,AVERAGEIFS(Elec_On_Peak, 'Avoided AC'!$D:$D, $B20, 'Avoided AC'!$E:$E, "Shoulder") +
        INDEX(AEPS!$S$8:$S$37, MATCH($A20, 'General Inputs'!$F$3:$F$32, 0)) +
        OFFSET(DRIPE!$I$10, MATCH('LI Output'!$B20, DRIPE!$I$11:$I$30, 0), MATCH('LI Output'!$B$1, DRIPE!$J$10:$N$10, 0), 1, 1) +
        INDEX(Arrearages!C$5:J$24, MATCH($A20, Arrearages!$B$5:$B$24, 0), MATCH('General Inputs'!$C$2, Arrearages!$C$4:$J$4, 0))),"Data Missing")</f>
        <v>100.51869902739462</v>
      </c>
      <c r="H20" s="17">
        <f ca="1">IFERROR(IF(VALUE(RIGHT($B$1,2))&gt;$A20,0,AVERAGEIFS(Elec_Off_Peak, 'Avoided AC'!$D:$D, $B20, 'Avoided AC'!$E:$E, "Shoulder") +
        INDEX(AEPS!$S$8:$S$37, MATCH($A20, 'General Inputs'!$F$3:$F$32, 0)) +
        OFFSET(DRIPE!$I$10, MATCH('LI Output'!$B20, DRIPE!$I$11:$I$30, 0), MATCH('LI Output'!$B$1, DRIPE!$J$10:$N$10, 0), 1, 1) +
        INDEX(Arrearages!C$5:J$24, MATCH($A20, Arrearages!$B$5:$B$24, 0), MATCH('General Inputs'!$C$2, Arrearages!$C$4:$J$4, 0))),"Data Missing")</f>
        <v>83.413821222788556</v>
      </c>
      <c r="I20" s="17">
        <f ca="1">(IF(VALUE(RIGHT($B$1,2))&gt;$A20,0,INDEX('Generation Capacity'!$E$27:$K$48,MATCH($A20,'Generation Capacity'!$B$27:$B$48,FALSE),MATCH(EDC_NAME,'Generation Capacity'!$E$26:$K$26,FALSE))+
        OFFSET(DRIPE!$B$35,MATCH('LI Output'!$B20,DRIPE!$B$11:$B$30,0),MATCH('LI Output'!$B$1,DRIPE!$C$10:$G$10,0),1,1)))</f>
        <v>34.635685416127252</v>
      </c>
      <c r="J20" s="17">
        <f ca="1">(IF(VALUE(RIGHT($B$1,2))&gt;$A20,0,INDEX('Generation Capacity'!$E$27:$K$48,MATCH($A20,'Generation Capacity'!$B$27:$B$48,FALSE),MATCH(EDC_NAME,'Generation Capacity'!$E$26:$K$26,FALSE))+
        OFFSET(DRIPE!$I$35,MATCH('LI Output'!$B20,DRIPE!$B$11:$B$30,0),MATCH('LI Output'!$B$1,DRIPE!$C$10:$G$10,0),1,1)))</f>
        <v>34.635685416127252</v>
      </c>
      <c r="K20" s="17">
        <f ca="1">IFERROR(IF(VALUE(RIGHT($B$1,2))&gt;$A20,0,INDEX('T&amp;D Capacity'!$E$4:$K$23,MATCH($A20,'T&amp;D Capacity'!$B$4:$B$23,FALSE),MATCH(EDC_NAME,'T&amp;D Capacity'!$E$3:$K$3,FALSE))),0)</f>
        <v>12.008137889001302</v>
      </c>
      <c r="L20" s="17">
        <f ca="1">IFERROR(IF(VALUE(RIGHT($B$1,2))&gt;$A20,0,INDEX('T&amp;D Capacity'!$E$28:$K$47,MATCH($A20,'T&amp;D Capacity'!$B$28:$B$47,FALSE),MATCH(EDC_NAME,'T&amp;D Capacity'!$E$27:$K$27,FALSE))),0)</f>
        <v>12.008137889001302</v>
      </c>
      <c r="M20" s="17">
        <f ca="1">IFERROR(IF(VALUE(RIGHT($B$1,2))&gt;$A20,0,INDEX('T&amp;D Capacity'!$M$4:$S$23,MATCH($A20,'T&amp;D Capacity'!$B$4:$B$23,FALSE),MATCH(EDC_NAME,'T&amp;D Capacity'!$M$3:$S$3,FALSE))),0)</f>
        <v>77.929897322431884</v>
      </c>
      <c r="N20" s="17">
        <f ca="1">IFERROR(IF(VALUE(RIGHT($B$1,2))&gt;$A20,0,INDEX('T&amp;D Capacity'!$M$28:$S$47,MATCH($A20,'T&amp;D Capacity'!$B$28:$B$47,FALSE),MATCH(EDC_NAME,'T&amp;D Capacity'!$M$27:$S$27,FALSE))),0)</f>
        <v>11.300374994329797</v>
      </c>
      <c r="O20" s="18">
        <f>IFERROR(IF(VALUE(RIGHT($B$1,2))&gt;$A20,0,IFERROR(AVERAGEIF('NG Futures'!$E:$E,$B20,'NG Futures'!$I:$I),"Data Missing")),0)</f>
        <v>4.9008818618881964</v>
      </c>
      <c r="P20" s="324"/>
      <c r="Q20" s="65"/>
      <c r="AF20" s="83"/>
      <c r="AG20" s="83"/>
      <c r="AH20" s="83"/>
      <c r="AI20" s="83"/>
      <c r="AJ20" s="83"/>
      <c r="AK20" s="83"/>
      <c r="AL20" s="83"/>
      <c r="AM20" s="83"/>
      <c r="AN20" s="83"/>
      <c r="AO20" s="83"/>
      <c r="AP20" s="83"/>
      <c r="AQ20" s="83"/>
      <c r="AR20" s="83"/>
      <c r="AS20" s="83"/>
      <c r="AT20" s="83"/>
    </row>
    <row r="21" spans="1:46" ht="15" customHeight="1" x14ac:dyDescent="0.25">
      <c r="A21" s="124">
        <f t="shared" si="0"/>
        <v>34</v>
      </c>
      <c r="B21" s="124">
        <f t="shared" si="0"/>
        <v>2043</v>
      </c>
      <c r="C21" s="122">
        <f ca="1">IFERROR(IF(VALUE(RIGHT($B$1,2))&gt;$A21,0,AVERAGEIFS(Elec_On_Peak, 'Avoided AC'!$D:$D, $B21, 'Avoided AC'!$E:$E, "Summer") +
        INDEX(AEPS!$S$8:$S$37, MATCH($A21, 'General Inputs'!$F$3:$F$32, 0)) +
        OFFSET(DRIPE!$I$10, MATCH('LI Output'!$B21, DRIPE!$I$11:$I$30, 0), MATCH('LI Output'!$B$1, DRIPE!$J$10:$N$10, 0), 1, 1) +
        INDEX(Arrearages!C$5:J$24, MATCH($A21, Arrearages!$B$5:$B$24, 0), MATCH('General Inputs'!$C$2, Arrearages!$C$4:$J$4, 0))),"Data Missing")</f>
        <v>114.59786857394181</v>
      </c>
      <c r="D21" s="17">
        <f ca="1">IFERROR(IF(VALUE(RIGHT($B$1,2))&gt;$A21,0,AVERAGEIFS(Elec_Off_Peak, 'Avoided AC'!$D:$D, $B21, 'Avoided AC'!$E:$E, "Summer") +
        INDEX(AEPS!$S$8:$S$37, MATCH($A21, 'General Inputs'!$F$3:$F$32, 0)) +
        OFFSET(DRIPE!$I$10, MATCH('LI Output'!$B21, DRIPE!$I$11:$I$30, 0), MATCH('LI Output'!$B$1, DRIPE!$J$10:$N$10, 0), 1, 1) +
        INDEX(Arrearages!C$5:J$24, MATCH($A21, Arrearages!$B$5:$B$24, 0), MATCH('General Inputs'!$C$2, Arrearages!$C$4:$J$4, 0))),"Data Missing")</f>
        <v>80.325142454899378</v>
      </c>
      <c r="E21" s="17">
        <f ca="1">IFERROR(IF(VALUE(RIGHT($B$1,2))&gt;$A21,0,AVERAGEIFS(Elec_On_Peak, 'Avoided AC'!$D:$D, $B21, 'Avoided AC'!$E:$E, "Winter") +
        INDEX(AEPS!$S$8:$S$37, MATCH($A21, 'General Inputs'!$F$3:$F$32, 0)) +
        OFFSET(DRIPE!$I$10, MATCH('LI Output'!$B21, DRIPE!$I$11:$I$30, 0), MATCH('LI Output'!$B$1, DRIPE!$J$10:$N$10, 0), 1, 1) +
        INDEX(Arrearages!C$5:J$24, MATCH($A21, Arrearages!$B$5:$B$24, 0), MATCH('General Inputs'!$C$2, Arrearages!$C$4:$J$4, 0))),"Data Missing")</f>
        <v>138.52063436548531</v>
      </c>
      <c r="F21" s="17">
        <f ca="1">IFERROR(IF(VALUE(RIGHT($B$1,2))&gt;$A21,0,AVERAGEIFS(Elec_Off_Peak, 'Avoided AC'!$D:$D, $B21, 'Avoided AC'!$E:$E, "Winter") +
        INDEX(AEPS!$S$8:$S$37, MATCH($A21, 'General Inputs'!$F$3:$F$32, 0)) +
        OFFSET(DRIPE!$I$10, MATCH('LI Output'!$B21, DRIPE!$I$11:$I$30, 0), MATCH('LI Output'!$B$1, DRIPE!$J$10:$N$10, 0), 1, 1) +
        INDEX(Arrearages!C$5:J$24, MATCH($A21, Arrearages!$B$5:$B$24, 0), MATCH('General Inputs'!$C$2, Arrearages!$C$4:$J$4, 0))),"Data Missing")</f>
        <v>116.91640597148668</v>
      </c>
      <c r="G21" s="17">
        <f ca="1">IFERROR(IF(VALUE(RIGHT($B$1,2))&gt;$A21,0,AVERAGEIFS(Elec_On_Peak, 'Avoided AC'!$D:$D, $B21, 'Avoided AC'!$E:$E, "Shoulder") +
        INDEX(AEPS!$S$8:$S$37, MATCH($A21, 'General Inputs'!$F$3:$F$32, 0)) +
        OFFSET(DRIPE!$I$10, MATCH('LI Output'!$B21, DRIPE!$I$11:$I$30, 0), MATCH('LI Output'!$B$1, DRIPE!$J$10:$N$10, 0), 1, 1) +
        INDEX(Arrearages!C$5:J$24, MATCH($A21, Arrearages!$B$5:$B$24, 0), MATCH('General Inputs'!$C$2, Arrearages!$C$4:$J$4, 0))),"Data Missing")</f>
        <v>102.70204382230017</v>
      </c>
      <c r="H21" s="17">
        <f ca="1">IFERROR(IF(VALUE(RIGHT($B$1,2))&gt;$A21,0,AVERAGEIFS(Elec_Off_Peak, 'Avoided AC'!$D:$D, $B21, 'Avoided AC'!$E:$E, "Shoulder") +
        INDEX(AEPS!$S$8:$S$37, MATCH($A21, 'General Inputs'!$F$3:$F$32, 0)) +
        OFFSET(DRIPE!$I$10, MATCH('LI Output'!$B21, DRIPE!$I$11:$I$30, 0), MATCH('LI Output'!$B$1, DRIPE!$J$10:$N$10, 0), 1, 1) +
        INDEX(Arrearages!C$5:J$24, MATCH($A21, Arrearages!$B$5:$B$24, 0), MATCH('General Inputs'!$C$2, Arrearages!$C$4:$J$4, 0))),"Data Missing")</f>
        <v>85.126797956866881</v>
      </c>
      <c r="I21" s="17">
        <f ca="1">(IF(VALUE(RIGHT($B$1,2))&gt;$A21,0,INDEX('Generation Capacity'!$E$27:$K$48,MATCH($A21,'Generation Capacity'!$B$27:$B$48,FALSE),MATCH(EDC_NAME,'Generation Capacity'!$E$26:$K$26,FALSE))+
        OFFSET(DRIPE!$B$35,MATCH('LI Output'!$B21,DRIPE!$B$11:$B$30,0),MATCH('LI Output'!$B$1,DRIPE!$C$10:$G$10,0),1,1)))</f>
        <v>35.353178660689451</v>
      </c>
      <c r="J21" s="17">
        <f ca="1">(IF(VALUE(RIGHT($B$1,2))&gt;$A21,0,INDEX('Generation Capacity'!$E$27:$K$48,MATCH($A21,'Generation Capacity'!$B$27:$B$48,FALSE),MATCH(EDC_NAME,'Generation Capacity'!$E$26:$K$26,FALSE))+
        OFFSET(DRIPE!$I$35,MATCH('LI Output'!$B21,DRIPE!$B$11:$B$30,0),MATCH('LI Output'!$B$1,DRIPE!$C$10:$G$10,0),1,1)))</f>
        <v>35.353178660689451</v>
      </c>
      <c r="K21" s="17">
        <f ca="1">IFERROR(IF(VALUE(RIGHT($B$1,2))&gt;$A21,0,INDEX('T&amp;D Capacity'!$E$4:$K$23,MATCH($A21,'T&amp;D Capacity'!$B$4:$B$23,FALSE),MATCH(EDC_NAME,'T&amp;D Capacity'!$E$3:$K$3,FALSE))),0)</f>
        <v>12.256891673187081</v>
      </c>
      <c r="L21" s="17">
        <f ca="1">IFERROR(IF(VALUE(RIGHT($B$1,2))&gt;$A21,0,INDEX('T&amp;D Capacity'!$E$28:$K$47,MATCH($A21,'T&amp;D Capacity'!$B$28:$B$47,FALSE),MATCH(EDC_NAME,'T&amp;D Capacity'!$E$27:$K$27,FALSE))),0)</f>
        <v>12.256891673187081</v>
      </c>
      <c r="M21" s="17">
        <f ca="1">IFERROR(IF(VALUE(RIGHT($B$1,2))&gt;$A21,0,INDEX('T&amp;D Capacity'!$M$4:$S$23,MATCH($A21,'T&amp;D Capacity'!$B$4:$B$23,FALSE),MATCH(EDC_NAME,'T&amp;D Capacity'!$M$3:$S$3,FALSE))),0)</f>
        <v>79.544248942920845</v>
      </c>
      <c r="N21" s="17">
        <f ca="1">IFERROR(IF(VALUE(RIGHT($B$1,2))&gt;$A21,0,INDEX('T&amp;D Capacity'!$M$28:$S$47,MATCH($A21,'T&amp;D Capacity'!$B$28:$B$47,FALSE),MATCH(EDC_NAME,'T&amp;D Capacity'!$M$27:$S$27,FALSE))),0)</f>
        <v>11.534467163202425</v>
      </c>
      <c r="O21" s="18">
        <f>IFERROR(IF(VALUE(RIGHT($B$1,2))&gt;$A21,0,IFERROR(AVERAGEIF('NG Futures'!$E:$E,$B21,'NG Futures'!$I:$I),"Data Missing")),0)</f>
        <v>5.0684246299869011</v>
      </c>
      <c r="P21" s="324"/>
      <c r="Q21" s="65"/>
      <c r="AF21" s="83"/>
      <c r="AG21" s="83"/>
      <c r="AH21" s="83"/>
      <c r="AI21" s="83"/>
      <c r="AJ21" s="83"/>
      <c r="AK21" s="83"/>
      <c r="AL21" s="83"/>
      <c r="AM21" s="83"/>
      <c r="AN21" s="83"/>
      <c r="AO21" s="83"/>
      <c r="AP21" s="83"/>
      <c r="AQ21" s="83"/>
      <c r="AR21" s="83"/>
      <c r="AS21" s="83"/>
      <c r="AT21" s="83"/>
    </row>
    <row r="22" spans="1:46" ht="15" customHeight="1" x14ac:dyDescent="0.25">
      <c r="A22" s="124">
        <f t="shared" si="0"/>
        <v>35</v>
      </c>
      <c r="B22" s="124">
        <f t="shared" si="0"/>
        <v>2044</v>
      </c>
      <c r="C22" s="122">
        <f ca="1">IFERROR(IF(VALUE(RIGHT($B$1,2))&gt;$A22,0,AVERAGEIFS(Elec_On_Peak, 'Avoided AC'!$D:$D, $B22, 'Avoided AC'!$E:$E, "Summer") +
        INDEX(AEPS!$S$8:$S$37, MATCH($A22, 'General Inputs'!$F$3:$F$32, 0)) +
        OFFSET(DRIPE!$I$10, MATCH('LI Output'!$B22, DRIPE!$I$11:$I$30, 0), MATCH('LI Output'!$B$1, DRIPE!$J$10:$N$10, 0), 1, 1) +
        INDEX(Arrearages!C$5:J$24, MATCH($A22, Arrearages!$B$5:$B$24, 0), MATCH('General Inputs'!$C$2, Arrearages!$C$4:$J$4, 0))),"Data Missing")</f>
        <v>116.1160415787043</v>
      </c>
      <c r="D22" s="17">
        <f ca="1">IFERROR(IF(VALUE(RIGHT($B$1,2))&gt;$A22,0,AVERAGEIFS(Elec_Off_Peak, 'Avoided AC'!$D:$D, $B22, 'Avoided AC'!$E:$E, "Summer") +
        INDEX(AEPS!$S$8:$S$37, MATCH($A22, 'General Inputs'!$F$3:$F$32, 0)) +
        OFFSET(DRIPE!$I$10, MATCH('LI Output'!$B22, DRIPE!$I$11:$I$30, 0), MATCH('LI Output'!$B$1, DRIPE!$J$10:$N$10, 0), 1, 1) +
        INDEX(Arrearages!C$5:J$24, MATCH($A22, Arrearages!$B$5:$B$24, 0), MATCH('General Inputs'!$C$2, Arrearages!$C$4:$J$4, 0))),"Data Missing")</f>
        <v>81.584224720108111</v>
      </c>
      <c r="E22" s="17">
        <f ca="1">IFERROR(IF(VALUE(RIGHT($B$1,2))&gt;$A22,0,AVERAGEIFS(Elec_On_Peak, 'Avoided AC'!$D:$D, $B22, 'Avoided AC'!$E:$E, "Winter") +
        INDEX(AEPS!$S$8:$S$37, MATCH($A22, 'General Inputs'!$F$3:$F$32, 0)) +
        OFFSET(DRIPE!$I$10, MATCH('LI Output'!$B22, DRIPE!$I$11:$I$30, 0), MATCH('LI Output'!$B$1, DRIPE!$J$10:$N$10, 0), 1, 1) +
        INDEX(Arrearages!C$5:J$24, MATCH($A22, Arrearages!$B$5:$B$24, 0), MATCH('General Inputs'!$C$2, Arrearages!$C$4:$J$4, 0))),"Data Missing")</f>
        <v>141.23153754696145</v>
      </c>
      <c r="F22" s="17">
        <f ca="1">IFERROR(IF(VALUE(RIGHT($B$1,2))&gt;$A22,0,AVERAGEIFS(Elec_Off_Peak, 'Avoided AC'!$D:$D, $B22, 'Avoided AC'!$E:$E, "Winter") +
        INDEX(AEPS!$S$8:$S$37, MATCH($A22, 'General Inputs'!$F$3:$F$32, 0)) +
        OFFSET(DRIPE!$I$10, MATCH('LI Output'!$B22, DRIPE!$I$11:$I$30, 0), MATCH('LI Output'!$B$1, DRIPE!$J$10:$N$10, 0), 1, 1) +
        INDEX(Arrearages!C$5:J$24, MATCH($A22, Arrearages!$B$5:$B$24, 0), MATCH('General Inputs'!$C$2, Arrearages!$C$4:$J$4, 0))),"Data Missing")</f>
        <v>118.99688247262625</v>
      </c>
      <c r="G22" s="17">
        <f ca="1">IFERROR(IF(VALUE(RIGHT($B$1,2))&gt;$A22,0,AVERAGEIFS(Elec_On_Peak, 'Avoided AC'!$D:$D, $B22, 'Avoided AC'!$E:$E, "Shoulder") +
        INDEX(AEPS!$S$8:$S$37, MATCH($A22, 'General Inputs'!$F$3:$F$32, 0)) +
        OFFSET(DRIPE!$I$10, MATCH('LI Output'!$B22, DRIPE!$I$11:$I$30, 0), MATCH('LI Output'!$B$1, DRIPE!$J$10:$N$10, 0), 1, 1) +
        INDEX(Arrearages!C$5:J$24, MATCH($A22, Arrearages!$B$5:$B$24, 0), MATCH('General Inputs'!$C$2, Arrearages!$C$4:$J$4, 0))),"Data Missing")</f>
        <v>104.34659634625449</v>
      </c>
      <c r="H22" s="17">
        <f ca="1">IFERROR(IF(VALUE(RIGHT($B$1,2))&gt;$A22,0,AVERAGEIFS(Elec_Off_Peak, 'Avoided AC'!$D:$D, $B22, 'Avoided AC'!$E:$E, "Shoulder") +
        INDEX(AEPS!$S$8:$S$37, MATCH($A22, 'General Inputs'!$F$3:$F$32, 0)) +
        OFFSET(DRIPE!$I$10, MATCH('LI Output'!$B22, DRIPE!$I$11:$I$30, 0), MATCH('LI Output'!$B$1, DRIPE!$J$10:$N$10, 0), 1, 1) +
        INDEX(Arrearages!C$5:J$24, MATCH($A22, Arrearages!$B$5:$B$24, 0), MATCH('General Inputs'!$C$2, Arrearages!$C$4:$J$4, 0))),"Data Missing")</f>
        <v>86.472913660677719</v>
      </c>
      <c r="I22" s="17">
        <f ca="1">(IF(VALUE(RIGHT($B$1,2))&gt;$A22,0,INDEX('Generation Capacity'!$E$27:$K$48,MATCH($A22,'Generation Capacity'!$B$27:$B$48,FALSE),MATCH(EDC_NAME,'Generation Capacity'!$E$26:$K$26,FALSE))+
        OFFSET(DRIPE!$B$35,MATCH('LI Output'!$B22,DRIPE!$B$11:$B$30,0),MATCH('LI Output'!$B$1,DRIPE!$C$10:$G$10,0),1,1)))</f>
        <v>36.085535088982752</v>
      </c>
      <c r="J22" s="17">
        <f ca="1">(IF(VALUE(RIGHT($B$1,2))&gt;$A22,0,INDEX('Generation Capacity'!$E$27:$K$48,MATCH($A22,'Generation Capacity'!$B$27:$B$48,FALSE),MATCH(EDC_NAME,'Generation Capacity'!$E$26:$K$26,FALSE))+
        OFFSET(DRIPE!$I$35,MATCH('LI Output'!$B22,DRIPE!$B$11:$B$30,0),MATCH('LI Output'!$B$1,DRIPE!$C$10:$G$10,0),1,1)))</f>
        <v>36.085535088982752</v>
      </c>
      <c r="K22" s="17">
        <f ca="1">IFERROR(IF(VALUE(RIGHT($B$1,2))&gt;$A22,0,INDEX('T&amp;D Capacity'!$E$4:$K$23,MATCH($A22,'T&amp;D Capacity'!$B$4:$B$23,FALSE),MATCH(EDC_NAME,'T&amp;D Capacity'!$E$3:$K$3,FALSE))),0)</f>
        <v>12.510798499894417</v>
      </c>
      <c r="L22" s="17">
        <f ca="1">IFERROR(IF(VALUE(RIGHT($B$1,2))&gt;$A22,0,INDEX('T&amp;D Capacity'!$E$28:$K$47,MATCH($A22,'T&amp;D Capacity'!$B$28:$B$47,FALSE),MATCH(EDC_NAME,'T&amp;D Capacity'!$E$27:$K$27,FALSE))),0)</f>
        <v>12.510798499894417</v>
      </c>
      <c r="M22" s="17">
        <f ca="1">IFERROR(IF(VALUE(RIGHT($B$1,2))&gt;$A22,0,INDEX('T&amp;D Capacity'!$M$4:$S$23,MATCH($A22,'T&amp;D Capacity'!$B$4:$B$23,FALSE),MATCH(EDC_NAME,'T&amp;D Capacity'!$M$3:$S$3,FALSE))),0)</f>
        <v>81.192042557357169</v>
      </c>
      <c r="N22" s="17">
        <f ca="1">IFERROR(IF(VALUE(RIGHT($B$1,2))&gt;$A22,0,INDEX('T&amp;D Capacity'!$M$28:$S$47,MATCH($A22,'T&amp;D Capacity'!$B$28:$B$47,FALSE),MATCH(EDC_NAME,'T&amp;D Capacity'!$M$27:$S$27,FALSE))),0)</f>
        <v>11.773408652876794</v>
      </c>
      <c r="O22" s="18">
        <f>IFERROR(IF(VALUE(RIGHT($B$1,2))&gt;$A22,0,IFERROR(AVERAGEIF('NG Futures'!$E:$E,$B22,'NG Futures'!$I:$I),"Data Missing")),0)</f>
        <v>5.1747263437160846</v>
      </c>
      <c r="P22" s="324"/>
      <c r="Q22" s="65"/>
      <c r="AF22" s="83"/>
      <c r="AG22" s="83"/>
      <c r="AH22" s="83"/>
      <c r="AI22" s="83"/>
      <c r="AJ22" s="83"/>
      <c r="AK22" s="83"/>
      <c r="AL22" s="83"/>
      <c r="AM22" s="83"/>
      <c r="AN22" s="83"/>
      <c r="AO22" s="83"/>
      <c r="AP22" s="83"/>
      <c r="AQ22" s="83"/>
      <c r="AR22" s="83"/>
      <c r="AS22" s="83"/>
      <c r="AT22" s="83"/>
    </row>
    <row r="23" spans="1:46" ht="15" customHeight="1" x14ac:dyDescent="0.25">
      <c r="A23" s="124">
        <f t="shared" ref="A23:B24" si="1">A22+1</f>
        <v>36</v>
      </c>
      <c r="B23" s="124">
        <f t="shared" si="1"/>
        <v>2045</v>
      </c>
      <c r="C23" s="122">
        <f ca="1">IFERROR(IF(VALUE(RIGHT($B$1,2))&gt;$A23,0,AVERAGEIFS(Elec_On_Peak, 'Avoided AC'!$D:$D, $B23, 'Avoided AC'!$E:$E, "Summer") +
        INDEX(AEPS!$S$8:$S$37, MATCH($A23, 'General Inputs'!$F$3:$F$32, 0)) +
        OFFSET(DRIPE!$I$10, MATCH('LI Output'!$B23, DRIPE!$I$11:$I$30, 0), MATCH('LI Output'!$B$1, DRIPE!$J$10:$N$10, 0), 1, 1) +
        INDEX(Arrearages!C$5:J$24, MATCH($A23, Arrearages!$B$5:$B$24, 0), MATCH('General Inputs'!$C$2, Arrearages!$C$4:$J$4, 0))),"Data Missing")</f>
        <v>117.40754999431464</v>
      </c>
      <c r="D23" s="17">
        <f ca="1">IFERROR(IF(VALUE(RIGHT($B$1,2))&gt;$A23,0,AVERAGEIFS(Elec_Off_Peak, 'Avoided AC'!$D:$D, $B23, 'Avoided AC'!$E:$E, "Summer") +
        INDEX(AEPS!$S$8:$S$37, MATCH($A23, 'General Inputs'!$F$3:$F$32, 0)) +
        OFFSET(DRIPE!$I$10, MATCH('LI Output'!$B23, DRIPE!$I$11:$I$30, 0), MATCH('LI Output'!$B$1, DRIPE!$J$10:$N$10, 0), 1, 1) +
        INDEX(Arrearages!C$5:J$24, MATCH($A23, Arrearages!$B$5:$B$24, 0), MATCH('General Inputs'!$C$2, Arrearages!$C$4:$J$4, 0))),"Data Missing")</f>
        <v>82.691481825355112</v>
      </c>
      <c r="E23" s="17">
        <f ca="1">IFERROR(IF(VALUE(RIGHT($B$1,2))&gt;$A23,0,AVERAGEIFS(Elec_On_Peak, 'Avoided AC'!$D:$D, $B23, 'Avoided AC'!$E:$E, "Winter") +
        INDEX(AEPS!$S$8:$S$37, MATCH($A23, 'General Inputs'!$F$3:$F$32, 0)) +
        OFFSET(DRIPE!$I$10, MATCH('LI Output'!$B23, DRIPE!$I$11:$I$30, 0), MATCH('LI Output'!$B$1, DRIPE!$J$10:$N$10, 0), 1, 1) +
        INDEX(Arrearages!C$5:J$24, MATCH($A23, Arrearages!$B$5:$B$24, 0), MATCH('General Inputs'!$C$2, Arrearages!$C$4:$J$4, 0))),"Data Missing")</f>
        <v>143.37125110625209</v>
      </c>
      <c r="F23" s="17">
        <f ca="1">IFERROR(IF(VALUE(RIGHT($B$1,2))&gt;$A23,0,AVERAGEIFS(Elec_Off_Peak, 'Avoided AC'!$D:$D, $B23, 'Avoided AC'!$E:$E, "Winter") +
        INDEX(AEPS!$S$8:$S$37, MATCH($A23, 'General Inputs'!$F$3:$F$32, 0)) +
        OFFSET(DRIPE!$I$10, MATCH('LI Output'!$B23, DRIPE!$I$11:$I$30, 0), MATCH('LI Output'!$B$1, DRIPE!$J$10:$N$10, 0), 1, 1) +
        INDEX(Arrearages!C$5:J$24, MATCH($A23, Arrearages!$B$5:$B$24, 0), MATCH('General Inputs'!$C$2, Arrearages!$C$4:$J$4, 0))),"Data Missing")</f>
        <v>120.68827069948665</v>
      </c>
      <c r="G23" s="17">
        <f ca="1">IFERROR(IF(VALUE(RIGHT($B$1,2))&gt;$A23,0,AVERAGEIFS(Elec_On_Peak, 'Avoided AC'!$D:$D, $B23, 'Avoided AC'!$E:$E, "Shoulder") +
        INDEX(AEPS!$S$8:$S$37, MATCH($A23, 'General Inputs'!$F$3:$F$32, 0)) +
        OFFSET(DRIPE!$I$10, MATCH('LI Output'!$B23, DRIPE!$I$11:$I$30, 0), MATCH('LI Output'!$B$1, DRIPE!$J$10:$N$10, 0), 1, 1) +
        INDEX(Arrearages!C$5:J$24, MATCH($A23, Arrearages!$B$5:$B$24, 0), MATCH('General Inputs'!$C$2, Arrearages!$C$4:$J$4, 0))),"Data Missing")</f>
        <v>105.72797903546603</v>
      </c>
      <c r="H23" s="17">
        <f ca="1">IFERROR(IF(VALUE(RIGHT($B$1,2))&gt;$A23,0,AVERAGEIFS(Elec_Off_Peak, 'Avoided AC'!$D:$D, $B23, 'Avoided AC'!$E:$E, "Shoulder") +
        INDEX(AEPS!$S$8:$S$37, MATCH($A23, 'General Inputs'!$F$3:$F$32, 0)) +
        OFFSET(DRIPE!$I$10, MATCH('LI Output'!$B23, DRIPE!$I$11:$I$30, 0), MATCH('LI Output'!$B$1, DRIPE!$J$10:$N$10, 0), 1, 1) +
        INDEX(Arrearages!C$5:J$24, MATCH($A23, Arrearages!$B$5:$B$24, 0), MATCH('General Inputs'!$C$2, Arrearages!$C$4:$J$4, 0))),"Data Missing")</f>
        <v>87.642064236665846</v>
      </c>
      <c r="I23" s="17">
        <f ca="1">(IF(VALUE(RIGHT($B$1,2))&gt;$A23,0,INDEX('Generation Capacity'!$E$27:$K$48,MATCH($A23,'Generation Capacity'!$B$27:$B$48,FALSE),MATCH(EDC_NAME,'Generation Capacity'!$E$26:$K$26,FALSE))+
        OFFSET(DRIPE!$B$35,MATCH('LI Output'!$B23,DRIPE!$B$11:$B$30,0),MATCH('LI Output'!$B$1,DRIPE!$C$10:$G$10,0),1,1)))</f>
        <v>36.83306259830416</v>
      </c>
      <c r="J23" s="17">
        <f ca="1">(IF(VALUE(RIGHT($B$1,2))&gt;$A23,0,INDEX('Generation Capacity'!$E$27:$K$48,MATCH($A23,'Generation Capacity'!$B$27:$B$48,FALSE),MATCH(EDC_NAME,'Generation Capacity'!$E$26:$K$26,FALSE))+
        OFFSET(DRIPE!$I$35,MATCH('LI Output'!$B23,DRIPE!$B$11:$B$30,0),MATCH('LI Output'!$B$1,DRIPE!$C$10:$G$10,0),1,1)))</f>
        <v>36.83306259830416</v>
      </c>
      <c r="K23" s="17">
        <f ca="1">IFERROR(IF(VALUE(RIGHT($B$1,2))&gt;$A23,0,INDEX('T&amp;D Capacity'!$E$4:$K$23,MATCH($A23,'T&amp;D Capacity'!$B$4:$B$23,FALSE),MATCH(EDC_NAME,'T&amp;D Capacity'!$E$3:$K$3,FALSE))),0)</f>
        <v>12.769965116633969</v>
      </c>
      <c r="L23" s="17">
        <f ca="1">IFERROR(IF(VALUE(RIGHT($B$1,2))&gt;$A23,0,INDEX('T&amp;D Capacity'!$E$28:$K$47,MATCH($A23,'T&amp;D Capacity'!$B$28:$B$47,FALSE),MATCH(EDC_NAME,'T&amp;D Capacity'!$E$27:$K$27,FALSE))),0)</f>
        <v>12.769965116633969</v>
      </c>
      <c r="M23" s="17">
        <f ca="1">IFERROR(IF(VALUE(RIGHT($B$1,2))&gt;$A23,0,INDEX('T&amp;D Capacity'!$M$4:$S$23,MATCH($A23,'T&amp;D Capacity'!$B$4:$B$23,FALSE),MATCH(EDC_NAME,'T&amp;D Capacity'!$M$3:$S$3,FALSE))),0)</f>
        <v>82.873970931148946</v>
      </c>
      <c r="N23" s="17">
        <f ca="1">IFERROR(IF(VALUE(RIGHT($B$1,2))&gt;$A23,0,INDEX('T&amp;D Capacity'!$M$28:$S$47,MATCH($A23,'T&amp;D Capacity'!$B$28:$B$47,FALSE),MATCH(EDC_NAME,'T&amp;D Capacity'!$M$27:$S$27,FALSE))),0)</f>
        <v>12.017299919136418</v>
      </c>
      <c r="O23" s="18">
        <f>IFERROR(IF(VALUE(RIGHT($B$1,2))&gt;$A23,0,IFERROR(AVERAGEIF('NG Futures'!$E:$E,$B23,'NG Futures'!$I:$I),"Data Missing")),0)</f>
        <v>5.2503223688083311</v>
      </c>
      <c r="P23" s="324"/>
      <c r="Q23" s="65"/>
      <c r="AF23" s="83"/>
      <c r="AG23" s="83"/>
      <c r="AH23" s="83"/>
      <c r="AI23" s="83"/>
      <c r="AJ23" s="83"/>
      <c r="AK23" s="83"/>
      <c r="AL23" s="83"/>
      <c r="AM23" s="83"/>
      <c r="AN23" s="83"/>
      <c r="AO23" s="83"/>
      <c r="AP23" s="83"/>
      <c r="AQ23" s="83"/>
      <c r="AR23" s="83"/>
      <c r="AS23" s="83"/>
      <c r="AT23" s="83"/>
    </row>
    <row r="24" spans="1:46" ht="15" customHeight="1" x14ac:dyDescent="0.25">
      <c r="A24" s="124">
        <f t="shared" si="1"/>
        <v>37</v>
      </c>
      <c r="B24" s="124">
        <f t="shared" si="1"/>
        <v>2046</v>
      </c>
      <c r="C24" s="122">
        <f ca="1">IFERROR(IF(VALUE(RIGHT($B$1,2))&gt;$A24,0,AVERAGEIFS(Elec_On_Peak, 'Avoided AC'!$D:$D, $B24, 'Avoided AC'!$E:$E, "Summer") +
        INDEX(AEPS!$S$8:$S$37, MATCH($A24, 'General Inputs'!$F$3:$F$32, 0)) +
        OFFSET(DRIPE!$I$10, MATCH('LI Output'!$B24, DRIPE!$I$11:$I$30, 0), MATCH('LI Output'!$B$1, DRIPE!$J$10:$N$10, 0), 1, 1) +
        INDEX(Arrearages!C$5:J$24, MATCH($A24, Arrearages!$B$5:$B$24, 0), MATCH('General Inputs'!$C$2, Arrearages!$C$4:$J$4, 0))),"Data Missing")</f>
        <v>119.74959274908434</v>
      </c>
      <c r="D24" s="17">
        <f ca="1">IFERROR(IF(VALUE(RIGHT($B$1,2))&gt;$A24,0,AVERAGEIFS(Elec_Off_Peak, 'Avoided AC'!$D:$D, $B24, 'Avoided AC'!$E:$E, "Summer") +
        INDEX(AEPS!$S$8:$S$37, MATCH($A24, 'General Inputs'!$F$3:$F$32, 0)) +
        OFFSET(DRIPE!$I$10, MATCH('LI Output'!$B24, DRIPE!$I$11:$I$30, 0), MATCH('LI Output'!$B$1, DRIPE!$J$10:$N$10, 0), 1, 1) +
        INDEX(Arrearages!C$5:J$24, MATCH($A24, Arrearages!$B$5:$B$24, 0), MATCH('General Inputs'!$C$2, Arrearages!$C$4:$J$4, 0))),"Data Missing")</f>
        <v>84.526564297707495</v>
      </c>
      <c r="E24" s="17">
        <f ca="1">IFERROR(IF(VALUE(RIGHT($B$1,2))&gt;$A24,0,AVERAGEIFS(Elec_On_Peak, 'Avoided AC'!$D:$D, $B24, 'Avoided AC'!$E:$E, "Winter") +
        INDEX(AEPS!$S$8:$S$37, MATCH($A24, 'General Inputs'!$F$3:$F$32, 0)) +
        OFFSET(DRIPE!$I$10, MATCH('LI Output'!$B24, DRIPE!$I$11:$I$30, 0), MATCH('LI Output'!$B$1, DRIPE!$J$10:$N$10, 0), 1, 1) +
        INDEX(Arrearages!C$5:J$24, MATCH($A24, Arrearages!$B$5:$B$24, 0), MATCH('General Inputs'!$C$2, Arrearages!$C$4:$J$4, 0))),"Data Missing")</f>
        <v>148.04709717748125</v>
      </c>
      <c r="F24" s="17">
        <f ca="1">IFERROR(IF(VALUE(RIGHT($B$1,2))&gt;$A24,0,AVERAGEIFS(Elec_Off_Peak, 'Avoided AC'!$D:$D, $B24, 'Avoided AC'!$E:$E, "Winter") +
        INDEX(AEPS!$S$8:$S$37, MATCH($A24, 'General Inputs'!$F$3:$F$32, 0)) +
        OFFSET(DRIPE!$I$10, MATCH('LI Output'!$B24, DRIPE!$I$11:$I$30, 0), MATCH('LI Output'!$B$1, DRIPE!$J$10:$N$10, 0), 1, 1) +
        INDEX(Arrearages!C$5:J$24, MATCH($A24, Arrearages!$B$5:$B$24, 0), MATCH('General Inputs'!$C$2, Arrearages!$C$4:$J$4, 0))),"Data Missing")</f>
        <v>124.13056713301998</v>
      </c>
      <c r="G24" s="17">
        <f ca="1">IFERROR(IF(VALUE(RIGHT($B$1,2))&gt;$A24,0,AVERAGEIFS(Elec_On_Peak, 'Avoided AC'!$D:$D, $B24, 'Avoided AC'!$E:$E, "Shoulder") +
        INDEX(AEPS!$S$8:$S$37, MATCH($A24, 'General Inputs'!$F$3:$F$32, 0)) +
        OFFSET(DRIPE!$I$10, MATCH('LI Output'!$B24, DRIPE!$I$11:$I$30, 0), MATCH('LI Output'!$B$1, DRIPE!$J$10:$N$10, 0), 1, 1) +
        INDEX(Arrearages!C$5:J$24, MATCH($A24, Arrearages!$B$5:$B$24, 0), MATCH('General Inputs'!$C$2, Arrearages!$C$4:$J$4, 0))),"Data Missing")</f>
        <v>108.31730734297922</v>
      </c>
      <c r="H24" s="17">
        <f ca="1">IFERROR(IF(VALUE(RIGHT($B$1,2))&gt;$A24,0,AVERAGEIFS(Elec_Off_Peak, 'Avoided AC'!$D:$D, $B24, 'Avoided AC'!$E:$E, "Shoulder") +
        INDEX(AEPS!$S$8:$S$37, MATCH($A24, 'General Inputs'!$F$3:$F$32, 0)) +
        OFFSET(DRIPE!$I$10, MATCH('LI Output'!$B24, DRIPE!$I$11:$I$30, 0), MATCH('LI Output'!$B$1, DRIPE!$J$10:$N$10, 0), 1, 1) +
        INDEX(Arrearages!C$5:J$24, MATCH($A24, Arrearages!$B$5:$B$24, 0), MATCH('General Inputs'!$C$2, Arrearages!$C$4:$J$4, 0))),"Data Missing")</f>
        <v>89.647444175803315</v>
      </c>
      <c r="I24" s="17">
        <f ca="1">(IF(VALUE(RIGHT($B$1,2))&gt;$A24,0,INDEX('Generation Capacity'!$E$27:$K$48,MATCH($A24,'Generation Capacity'!$B$27:$B$48,FALSE),MATCH(EDC_NAME,'Generation Capacity'!$E$26:$K$26,FALSE))+
        OFFSET(DRIPE!$B$35,MATCH('LI Output'!$B24,DRIPE!$B$11:$B$30,0),MATCH('LI Output'!$B$1,DRIPE!$C$10:$G$10,0),1,1)))</f>
        <v>37.596075464176728</v>
      </c>
      <c r="J24" s="17">
        <f ca="1">(IF(VALUE(RIGHT($B$1,2))&gt;$A24,0,INDEX('Generation Capacity'!$E$27:$K$48,MATCH($A24,'Generation Capacity'!$B$27:$B$48,FALSE),MATCH(EDC_NAME,'Generation Capacity'!$E$26:$K$26,FALSE))+
        OFFSET(DRIPE!$I$35,MATCH('LI Output'!$B24,DRIPE!$B$11:$B$30,0),MATCH('LI Output'!$B$1,DRIPE!$C$10:$G$10,0),1,1)))</f>
        <v>37.596075464176728</v>
      </c>
      <c r="K24" s="17">
        <f ca="1">IFERROR(IF(VALUE(RIGHT($B$1,2))&gt;$A24,0,INDEX('T&amp;D Capacity'!$E$4:$K$23,MATCH($A24,'T&amp;D Capacity'!$B$4:$B$23,FALSE),MATCH(EDC_NAME,'T&amp;D Capacity'!$E$3:$K$3,FALSE))),0)</f>
        <v>13.034500482237377</v>
      </c>
      <c r="L24" s="17">
        <f ca="1">IFERROR(IF(VALUE(RIGHT($B$1,2))&gt;$A24,0,INDEX('T&amp;D Capacity'!$E$28:$K$47,MATCH($A24,'T&amp;D Capacity'!$B$28:$B$47,FALSE),MATCH(EDC_NAME,'T&amp;D Capacity'!$E$27:$K$27,FALSE))),0)</f>
        <v>13.034500482237377</v>
      </c>
      <c r="M24" s="17">
        <f ca="1">IFERROR(IF(VALUE(RIGHT($B$1,2))&gt;$A24,0,INDEX('T&amp;D Capacity'!$M$4:$S$23,MATCH($A24,'T&amp;D Capacity'!$B$4:$B$23,FALSE),MATCH(EDC_NAME,'T&amp;D Capacity'!$M$3:$S$3,FALSE))),0)</f>
        <v>84.590741180640151</v>
      </c>
      <c r="N24" s="17">
        <f ca="1">IFERROR(IF(VALUE(RIGHT($B$1,2))&gt;$A24,0,INDEX('T&amp;D Capacity'!$M$28:$S$47,MATCH($A24,'T&amp;D Capacity'!$B$28:$B$47,FALSE),MATCH(EDC_NAME,'T&amp;D Capacity'!$M$27:$S$27,FALSE))),0)</f>
        <v>12.266243498749931</v>
      </c>
      <c r="O24" s="18">
        <f>IFERROR(IF(VALUE(RIGHT($B$1,2))&gt;$A24,0,IFERROR(AVERAGEIF('NG Futures'!$E:$E,$B24,'NG Futures'!$I:$I),"Data Missing")),0)</f>
        <v>5.4583218785801444</v>
      </c>
      <c r="P24" s="325"/>
      <c r="Q24" s="65"/>
      <c r="AF24" s="83"/>
      <c r="AG24" s="83"/>
      <c r="AH24" s="83"/>
      <c r="AI24" s="83"/>
      <c r="AJ24" s="83"/>
      <c r="AK24" s="83"/>
      <c r="AL24" s="83"/>
      <c r="AM24" s="83"/>
      <c r="AN24" s="83"/>
      <c r="AO24" s="83"/>
      <c r="AP24" s="83"/>
      <c r="AQ24" s="83"/>
      <c r="AR24" s="83"/>
      <c r="AS24" s="83"/>
      <c r="AT24" s="83"/>
    </row>
    <row r="25" spans="1:46" s="50" customFormat="1" x14ac:dyDescent="0.2"/>
    <row r="26" spans="1:46" s="50" customFormat="1" x14ac:dyDescent="0.2"/>
    <row r="27" spans="1:46" s="50" customFormat="1" x14ac:dyDescent="0.2"/>
    <row r="28" spans="1:46" s="50" customFormat="1" x14ac:dyDescent="0.2">
      <c r="A28" s="26" t="s">
        <v>115</v>
      </c>
      <c r="B28" s="27" t="s">
        <v>130</v>
      </c>
    </row>
    <row r="29" spans="1:46" s="50" customFormat="1" x14ac:dyDescent="0.2">
      <c r="A29" s="84"/>
      <c r="B29" s="84"/>
      <c r="C29" s="312"/>
      <c r="D29" s="312"/>
      <c r="E29" s="312"/>
      <c r="F29" s="312"/>
      <c r="G29" s="312"/>
      <c r="H29" s="312"/>
      <c r="I29" s="312"/>
      <c r="J29" s="312"/>
      <c r="K29" s="312"/>
      <c r="L29" s="312"/>
      <c r="M29" s="312"/>
      <c r="N29" s="312"/>
    </row>
    <row r="30" spans="1:46" s="50" customFormat="1" ht="46.5" customHeight="1" x14ac:dyDescent="0.25">
      <c r="A30" s="51"/>
      <c r="B30" s="51"/>
      <c r="C30" s="313" t="str">
        <f>EDC_NAME&amp;" Zone Summer ($/MWh)"</f>
        <v>West Penn Zone Summer ($/MWh)</v>
      </c>
      <c r="D30" s="313"/>
      <c r="E30" s="313" t="str">
        <f>EDC_NAME&amp;" Zone Winter ($/MWh)"</f>
        <v>West Penn Zone Winter ($/MWh)</v>
      </c>
      <c r="F30" s="313"/>
      <c r="G30" s="313" t="str">
        <f>EDC_NAME&amp;" DLC Zone Shoulder ($/MWh)"</f>
        <v>West Penn DLC Zone Shoulder ($/MWh)</v>
      </c>
      <c r="H30" s="313"/>
      <c r="I30" s="314" t="str">
        <f>EDC_NAME&amp;" Generation Capacity
($/kW/year)"</f>
        <v>West Penn Generation Capacity
($/kW/year)</v>
      </c>
      <c r="J30" s="315"/>
      <c r="K30" s="316" t="str">
        <f>EDC_NAME&amp;" Transmission Capacity
($/kW/year)"</f>
        <v>West Penn Transmission Capacity
($/kW/year)</v>
      </c>
      <c r="L30" s="316"/>
      <c r="M30" s="316" t="str">
        <f>EDC_NAME&amp;" Distribution Capacity
($/kW/year)"</f>
        <v>West Penn Distribution Capacity
($/kW/year)</v>
      </c>
      <c r="N30" s="316"/>
      <c r="O30" s="326" t="s">
        <v>118</v>
      </c>
      <c r="P30" s="51"/>
      <c r="AC30" s="83"/>
      <c r="AD30" s="83"/>
      <c r="AE30" s="83"/>
      <c r="AF30" s="83"/>
      <c r="AG30" s="83"/>
      <c r="AH30" s="83"/>
      <c r="AI30" s="83"/>
      <c r="AJ30" s="83"/>
      <c r="AK30" s="83"/>
      <c r="AL30" s="83"/>
      <c r="AM30" s="83"/>
      <c r="AN30" s="83"/>
      <c r="AO30" s="83"/>
      <c r="AP30" s="83"/>
      <c r="AQ30" s="83"/>
    </row>
    <row r="31" spans="1:46" s="50" customFormat="1" ht="50.1" customHeight="1" x14ac:dyDescent="0.25">
      <c r="A31" s="116" t="s">
        <v>119</v>
      </c>
      <c r="B31" s="116" t="s">
        <v>120</v>
      </c>
      <c r="C31" s="118" t="s">
        <v>121</v>
      </c>
      <c r="D31" s="118" t="s">
        <v>122</v>
      </c>
      <c r="E31" s="118" t="s">
        <v>123</v>
      </c>
      <c r="F31" s="118" t="s">
        <v>124</v>
      </c>
      <c r="G31" s="118" t="s">
        <v>125</v>
      </c>
      <c r="H31" s="118" t="s">
        <v>126</v>
      </c>
      <c r="I31" s="284" t="s">
        <v>107</v>
      </c>
      <c r="J31" s="284" t="s">
        <v>101</v>
      </c>
      <c r="K31" s="284" t="s">
        <v>107</v>
      </c>
      <c r="L31" s="284" t="s">
        <v>101</v>
      </c>
      <c r="M31" s="284" t="s">
        <v>107</v>
      </c>
      <c r="N31" s="284" t="s">
        <v>101</v>
      </c>
      <c r="O31" s="327"/>
      <c r="AC31" s="83"/>
      <c r="AD31" s="83"/>
      <c r="AE31" s="83"/>
      <c r="AF31" s="83"/>
      <c r="AG31" s="83"/>
      <c r="AH31" s="83"/>
      <c r="AI31" s="83"/>
      <c r="AJ31" s="83"/>
      <c r="AK31" s="83"/>
      <c r="AL31" s="83"/>
      <c r="AM31" s="83"/>
      <c r="AN31" s="83"/>
      <c r="AO31" s="83"/>
      <c r="AP31" s="83"/>
      <c r="AQ31" s="83"/>
    </row>
    <row r="32" spans="1:46" s="50" customFormat="1" ht="15" customHeight="1" x14ac:dyDescent="0.25">
      <c r="A32" s="123">
        <v>18</v>
      </c>
      <c r="B32" s="124">
        <f>Start_Year</f>
        <v>2027</v>
      </c>
      <c r="C32" s="119">
        <f ca="1">IFERROR(IF(VALUE(RIGHT($B$28,2))&gt;$A32,0,AVERAGEIFS(Elec_On_Peak, 'Avoided AC'!$D:$D, $B32, 'Avoided AC'!$E:$E, "Summer") +
        INDEX(AEPS!$S$8:$S$37, MATCH($A32, 'General Inputs'!$F$3:$F$32, 0)) +
        OFFSET(DRIPE!$I$10, MATCH('LI Output'!$B32, DRIPE!$I$11:$I$30, 0), MATCH('LI Output'!$B$28, DRIPE!$J$10:$N$10, 0), 1, 1) +
        INDEX(Arrearages!C$5:J$24, MATCH($A32, Arrearages!$B$5:$B$24, 0), MATCH('General Inputs'!$C$2, Arrearages!$C$4:$J$4, 0))),"Data Missing")</f>
        <v>0</v>
      </c>
      <c r="D32" s="117">
        <f ca="1">IFERROR(IF(VALUE(RIGHT($B$28,2))&gt;$A32,0,AVERAGEIFS(Elec_Off_Peak, 'Avoided AC'!$D:$D, $B32, 'Avoided AC'!$E:$E, "Summer") +
        INDEX(AEPS!$S$8:$S$37, MATCH($A32, 'General Inputs'!$F$3:$F$32, 0)) +
        OFFSET(DRIPE!$I$10, MATCH('LI Output'!$B32, DRIPE!$I$11:$I$30, 0), MATCH('LI Output'!$B$28, DRIPE!$J$10:$N$10, 0), 1, 1) +
        INDEX(Arrearages!C$5:J$24, MATCH($A32, Arrearages!$B$5:$B$24, 0), MATCH('General Inputs'!$C$2, Arrearages!$C$4:$J$4, 0))),"Data Missing")</f>
        <v>0</v>
      </c>
      <c r="E32" s="117">
        <f ca="1">IFERROR(IF(VALUE(RIGHT($B$28,2))&gt;$A32,0,AVERAGEIFS(Elec_On_Peak, 'Avoided AC'!$D:$D, $B32, 'Avoided AC'!$E:$E, "Winter") +
        INDEX(AEPS!$S$8:$S$37, MATCH($A32, 'General Inputs'!$F$3:$F$32, 0)) +
        OFFSET(DRIPE!$I$10, MATCH('LI Output'!$B32, DRIPE!$I$11:$I$30, 0), MATCH('LI Output'!$B$28, DRIPE!$J$10:$N$10, 0), 1, 1) +
        INDEX(Arrearages!C$5:J$24, MATCH($A32, Arrearages!$B$5:$B$24, 0), MATCH('General Inputs'!$C$2, Arrearages!$C$4:$J$4, 0))),"Data Missing")</f>
        <v>0</v>
      </c>
      <c r="F32" s="117">
        <f ca="1">IFERROR(IF(VALUE(RIGHT($B$28,2))&gt;$A32,0,AVERAGEIFS(Elec_Off_Peak, 'Avoided AC'!$D:$D, $B32, 'Avoided AC'!$E:$E, "Winter") +
        INDEX(AEPS!$S$8:$S$37, MATCH($A32, 'General Inputs'!$F$3:$F$32, 0)) +
        OFFSET(DRIPE!$I$10, MATCH('LI Output'!$B32, DRIPE!$I$11:$I$30, 0), MATCH('LI Output'!$B$28, DRIPE!$J$10:$N$10, 0), 1, 1) +
        INDEX(Arrearages!C$5:J$24, MATCH($A32, Arrearages!$B$5:$B$24, 0), MATCH('General Inputs'!$C$2, Arrearages!$C$4:$J$4, 0))),"Data Missing")</f>
        <v>0</v>
      </c>
      <c r="G32" s="117">
        <f ca="1">IFERROR(IF(VALUE(RIGHT($B$28,2))&gt;$A32,0,AVERAGEIFS(Elec_On_Peak, 'Avoided AC'!$D:$D, $B32, 'Avoided AC'!$E:$E, "Shoulder") +
        INDEX(AEPS!$S$8:$S$37, MATCH($A32, 'General Inputs'!$F$3:$F$32, 0)) +
        OFFSET(DRIPE!$I$10, MATCH('LI Output'!$B32, DRIPE!$I$11:$I$30, 0), MATCH('LI Output'!$B$28, DRIPE!$J$10:$N$10, 0), 1, 1) +
        INDEX(Arrearages!C$5:J$24, MATCH($A32, Arrearages!$B$5:$B$24, 0), MATCH('General Inputs'!$C$2, Arrearages!$C$4:$J$4, 0))),"Data Missing")</f>
        <v>0</v>
      </c>
      <c r="H32" s="117">
        <f ca="1">IFERROR(IF(VALUE(RIGHT($B$28,2))&gt;$A32,0,AVERAGEIFS(Elec_Off_Peak, 'Avoided AC'!$D:$D, $B32, 'Avoided AC'!$E:$E, "Shoulder") +
        INDEX(AEPS!$S$8:$S$37, MATCH($A32, 'General Inputs'!$F$3:$F$32, 0)) +
        OFFSET(DRIPE!$I$10, MATCH('LI Output'!$B32, DRIPE!$I$11:$I$30, 0), MATCH('LI Output'!$B$28, DRIPE!$J$10:$N$10, 0), 1, 1) +
        INDEX(Arrearages!C$5:J$24, MATCH($A32, Arrearages!$B$5:$B$24, 0), MATCH('General Inputs'!$C$2, Arrearages!$C$4:$J$4, 0))),"Data Missing")</f>
        <v>0</v>
      </c>
      <c r="I32" s="117">
        <f ca="1">(IF(VALUE(RIGHT($B$28,2))&gt;$A32,0,INDEX('Generation Capacity'!$E$27:$K$48,MATCH($A32,'Generation Capacity'!$B$27:$B$48,FALSE),MATCH(EDC_NAME,'Generation Capacity'!$E$26:$K$26,FALSE))+
        OFFSET(DRIPE!$B$35,MATCH('LI Output'!$B32,DRIPE!$B$11:$B$30,0),MATCH('LI Output'!$B$28,DRIPE!$C$10:$G$10,0),1,1)))</f>
        <v>0</v>
      </c>
      <c r="J32" s="117">
        <f ca="1">(IF(VALUE(RIGHT($B$28,2))&gt;$A32,0,INDEX('Generation Capacity'!$E$27:$K$48,MATCH($A32,'Generation Capacity'!$B$27:$B$48,FALSE),MATCH(EDC_NAME,'Generation Capacity'!$E$26:$K$26,FALSE))+
        OFFSET(DRIPE!$I$35,MATCH('LI Output'!$B32,DRIPE!$B$11:$B$30,0),MATCH('LI Output'!$B$28,DRIPE!$C$10:$G$10,0),1,1)))</f>
        <v>0</v>
      </c>
      <c r="K32" s="117">
        <f>IFERROR(IF(VALUE(RIGHT($B$28,2))&gt;$A32,0,INDEX('T&amp;D Capacity'!$E$4:$K$23,MATCH($A32,'T&amp;D Capacity'!$B$4:$B$23,FALSE),MATCH(EDC_NAME,'T&amp;D Capacity'!$E$3:$K$3,FALSE))),0)</f>
        <v>0</v>
      </c>
      <c r="L32" s="117">
        <f>IFERROR(IF(VALUE(RIGHT($B$28,2))&gt;$A32,0,INDEX('T&amp;D Capacity'!$E$28:$K$47,MATCH($A32,'T&amp;D Capacity'!$B$28:$B$47,FALSE),MATCH(EDC_NAME,'T&amp;D Capacity'!$E$27:$K$27,FALSE))),0)</f>
        <v>0</v>
      </c>
      <c r="M32" s="117">
        <f>IFERROR(IF(VALUE(RIGHT($B$28,2))&gt;$A32,0,INDEX('T&amp;D Capacity'!$M$4:$S$23,MATCH($A32,'T&amp;D Capacity'!$B$4:$B$23,FALSE),MATCH(EDC_NAME,'T&amp;D Capacity'!$M$3:$S$3,FALSE))),0)</f>
        <v>0</v>
      </c>
      <c r="N32" s="117">
        <f>IFERROR(IF(VALUE(RIGHT($B$28,2))&gt;$A32,0,INDEX('T&amp;D Capacity'!$M$28:$S$47,MATCH($A32,'T&amp;D Capacity'!$B$28:$B$47,FALSE),MATCH(EDC_NAME,'T&amp;D Capacity'!$M$27:$S$27,FALSE))),0)</f>
        <v>0</v>
      </c>
      <c r="O32" s="57">
        <f>IFERROR(IF(VALUE(RIGHT($B$28,2))&gt;$A32,0,IFERROR(AVERAGEIF('NG Futures'!$E:$E,$B32,'NG Futures'!$I:$I),"Data Missing")),0)</f>
        <v>0</v>
      </c>
      <c r="P32" s="317" t="s">
        <v>127</v>
      </c>
      <c r="AC32" s="83"/>
      <c r="AD32" s="83"/>
      <c r="AE32" s="83"/>
      <c r="AF32" s="83"/>
      <c r="AG32" s="83"/>
      <c r="AH32" s="83"/>
      <c r="AI32" s="83"/>
      <c r="AJ32" s="83"/>
      <c r="AK32" s="83"/>
      <c r="AL32" s="83"/>
      <c r="AM32" s="83"/>
      <c r="AN32" s="83"/>
      <c r="AO32" s="83"/>
      <c r="AP32" s="83"/>
      <c r="AQ32" s="83"/>
    </row>
    <row r="33" spans="1:43" s="50" customFormat="1" ht="15" customHeight="1" x14ac:dyDescent="0.25">
      <c r="A33" s="124">
        <f>A32+1</f>
        <v>19</v>
      </c>
      <c r="B33" s="124">
        <f>B32+1</f>
        <v>2028</v>
      </c>
      <c r="C33" s="120">
        <f ca="1">IFERROR(IF(VALUE(RIGHT($B$28,2))&gt;$A33,0,AVERAGEIFS(Elec_On_Peak, 'Avoided AC'!$D:$D, $B33, 'Avoided AC'!$E:$E, "Summer") +
        INDEX(AEPS!$S$8:$S$37, MATCH($A33, 'General Inputs'!$F$3:$F$32, 0)) +
        OFFSET(DRIPE!$I$10, MATCH('LI Output'!$B33, DRIPE!$I$11:$I$30, 0), MATCH('LI Output'!$B$28, DRIPE!$J$10:$N$10, 0), 1, 1) +
        INDEX(Arrearages!C$5:J$24, MATCH($A33, Arrearages!$B$5:$B$24, 0), MATCH('General Inputs'!$C$2, Arrearages!$C$4:$J$4, 0))),"Data Missing")</f>
        <v>108.1867477075903</v>
      </c>
      <c r="D33" s="14">
        <f ca="1">IFERROR(IF(VALUE(RIGHT($B$28,2))&gt;$A33,0,AVERAGEIFS(Elec_Off_Peak, 'Avoided AC'!$D:$D, $B33, 'Avoided AC'!$E:$E, "Summer") +
        INDEX(AEPS!$S$8:$S$37, MATCH($A33, 'General Inputs'!$F$3:$F$32, 0)) +
        OFFSET(DRIPE!$I$10, MATCH('LI Output'!$B33, DRIPE!$I$11:$I$30, 0), MATCH('LI Output'!$B$28, DRIPE!$J$10:$N$10, 0), 1, 1) +
        INDEX(Arrearages!C$5:J$24, MATCH($A33, Arrearages!$B$5:$B$24, 0), MATCH('General Inputs'!$C$2, Arrearages!$C$4:$J$4, 0))),"Data Missing")</f>
        <v>76.533910012307231</v>
      </c>
      <c r="E33" s="14">
        <f ca="1">IFERROR(IF(VALUE(RIGHT($B$28,2))&gt;$A33,0,AVERAGEIFS(Elec_On_Peak, 'Avoided AC'!$D:$D, $B33, 'Avoided AC'!$E:$E, "Winter") +
        INDEX(AEPS!$S$8:$S$37, MATCH($A33, 'General Inputs'!$F$3:$F$32, 0)) +
        OFFSET(DRIPE!$I$10, MATCH('LI Output'!$B33, DRIPE!$I$11:$I$30, 0), MATCH('LI Output'!$B$28, DRIPE!$J$10:$N$10, 0), 1, 1) +
        INDEX(Arrearages!C$5:J$24, MATCH($A33, Arrearages!$B$5:$B$24, 0), MATCH('General Inputs'!$C$2, Arrearages!$C$4:$J$4, 0))),"Data Missing")</f>
        <v>115.71225833199378</v>
      </c>
      <c r="F33" s="14">
        <f ca="1">IFERROR(IF(VALUE(RIGHT($B$28,2))&gt;$A33,0,AVERAGEIFS(Elec_Off_Peak, 'Avoided AC'!$D:$D, $B33, 'Avoided AC'!$E:$E, "Winter") +
        INDEX(AEPS!$S$8:$S$37, MATCH($A33, 'General Inputs'!$F$3:$F$32, 0)) +
        OFFSET(DRIPE!$I$10, MATCH('LI Output'!$B33, DRIPE!$I$11:$I$30, 0), MATCH('LI Output'!$B$28, DRIPE!$J$10:$N$10, 0), 1, 1) +
        INDEX(Arrearages!C$5:J$24, MATCH($A33, Arrearages!$B$5:$B$24, 0), MATCH('General Inputs'!$C$2, Arrearages!$C$4:$J$4, 0))),"Data Missing")</f>
        <v>103.02550744034762</v>
      </c>
      <c r="G33" s="14">
        <f ca="1">IFERROR(IF(VALUE(RIGHT($B$28,2))&gt;$A33,0,AVERAGEIFS(Elec_On_Peak, 'Avoided AC'!$D:$D, $B33, 'Avoided AC'!$E:$E, "Shoulder") +
        INDEX(AEPS!$S$8:$S$37, MATCH($A33, 'General Inputs'!$F$3:$F$32, 0)) +
        OFFSET(DRIPE!$I$10, MATCH('LI Output'!$B33, DRIPE!$I$11:$I$30, 0), MATCH('LI Output'!$B$28, DRIPE!$J$10:$N$10, 0), 1, 1) +
        INDEX(Arrearages!C$5:J$24, MATCH($A33, Arrearages!$B$5:$B$24, 0), MATCH('General Inputs'!$C$2, Arrearages!$C$4:$J$4, 0))),"Data Missing")</f>
        <v>94.055645708293554</v>
      </c>
      <c r="H33" s="14">
        <f ca="1">IFERROR(IF(VALUE(RIGHT($B$28,2))&gt;$A33,0,AVERAGEIFS(Elec_Off_Peak, 'Avoided AC'!$D:$D, $B33, 'Avoided AC'!$E:$E, "Shoulder") +
        INDEX(AEPS!$S$8:$S$37, MATCH($A33, 'General Inputs'!$F$3:$F$32, 0)) +
        OFFSET(DRIPE!$I$10, MATCH('LI Output'!$B33, DRIPE!$I$11:$I$30, 0), MATCH('LI Output'!$B$28, DRIPE!$J$10:$N$10, 0), 1, 1) +
        INDEX(Arrearages!C$5:J$24, MATCH($A33, Arrearages!$B$5:$B$24, 0), MATCH('General Inputs'!$C$2, Arrearages!$C$4:$J$4, 0))),"Data Missing")</f>
        <v>81.51601266464057</v>
      </c>
      <c r="I33" s="14">
        <f ca="1">(IF(VALUE(RIGHT($B$28,2))&gt;$A33,0,INDEX('Generation Capacity'!$E$27:$K$48,MATCH($A33,'Generation Capacity'!$B$27:$B$48,FALSE),MATCH(EDC_NAME,'Generation Capacity'!$E$26:$K$26,FALSE))+
        OFFSET(DRIPE!$B$35,MATCH('LI Output'!$B33,DRIPE!$B$11:$B$30,0),MATCH('LI Output'!$B$28,DRIPE!$C$10:$G$10,0),1,1)))</f>
        <v>38.763109999999998</v>
      </c>
      <c r="J33" s="14">
        <f ca="1">(IF(VALUE(RIGHT($B$28,2))&gt;$A33,0,INDEX('Generation Capacity'!$E$27:$K$48,MATCH($A33,'Generation Capacity'!$B$27:$B$48,FALSE),MATCH(EDC_NAME,'Generation Capacity'!$E$26:$K$26,FALSE))+
        OFFSET(DRIPE!$I$35,MATCH('LI Output'!$B33,DRIPE!$B$11:$B$30,0),MATCH('LI Output'!$B$28,DRIPE!$C$10:$G$10,0),1,1)))</f>
        <v>38.763109999999998</v>
      </c>
      <c r="K33" s="14">
        <f ca="1">IFERROR(IF(VALUE(RIGHT($B$28,2))&gt;$A33,0,INDEX('T&amp;D Capacity'!$E$4:$K$23,MATCH($A33,'T&amp;D Capacity'!$B$4:$B$23,FALSE),MATCH(EDC_NAME,'T&amp;D Capacity'!$E$3:$K$3,FALSE))),0)</f>
        <v>9.0117705278222537</v>
      </c>
      <c r="L33" s="14">
        <f ca="1">IFERROR(IF(VALUE(RIGHT($B$28,2))&gt;$A33,0,INDEX('T&amp;D Capacity'!$E$28:$K$47,MATCH($A33,'T&amp;D Capacity'!$B$28:$B$47,FALSE),MATCH(EDC_NAME,'T&amp;D Capacity'!$E$27:$K$27,FALSE))),0)</f>
        <v>9.0117705278222537</v>
      </c>
      <c r="M33" s="14">
        <f>IFERROR(IF(VALUE(RIGHT($B$28,2))&gt;$A33,0,INDEX('T&amp;D Capacity'!$M$4:$S$23,MATCH($A33,'T&amp;D Capacity'!$B$4:$B$23,FALSE),MATCH(EDC_NAME,'T&amp;D Capacity'!$M$3:$S$3,FALSE))),0)</f>
        <v>46.265887528657913</v>
      </c>
      <c r="N33" s="14">
        <f>IFERROR(IF(VALUE(RIGHT($B$28,2))&gt;$A33,0,INDEX('T&amp;D Capacity'!$M$28:$S$47,MATCH($A33,'T&amp;D Capacity'!$B$28:$B$47,FALSE),MATCH(EDC_NAME,'T&amp;D Capacity'!$M$27:$S$27,FALSE))),0)</f>
        <v>6.0599454417824745</v>
      </c>
      <c r="O33" s="57">
        <f>IFERROR(IF(VALUE(RIGHT($B$28,2))&gt;$A33,0,IFERROR(AVERAGEIF('NG Futures'!$E:$E,$B33,'NG Futures'!$I:$I),"Data Missing")),0)</f>
        <v>3.6780000000000008</v>
      </c>
      <c r="P33" s="318"/>
      <c r="AC33" s="83"/>
      <c r="AD33" s="83"/>
      <c r="AE33" s="83"/>
      <c r="AF33" s="83"/>
      <c r="AG33" s="83"/>
      <c r="AH33" s="83"/>
      <c r="AI33" s="83"/>
      <c r="AJ33" s="83"/>
      <c r="AK33" s="83"/>
      <c r="AL33" s="83"/>
      <c r="AM33" s="83"/>
      <c r="AN33" s="83"/>
      <c r="AO33" s="83"/>
      <c r="AP33" s="83"/>
      <c r="AQ33" s="83"/>
    </row>
    <row r="34" spans="1:43" s="50" customFormat="1" ht="15" customHeight="1" x14ac:dyDescent="0.2">
      <c r="A34" s="124">
        <f t="shared" ref="A34:B49" si="2">A33+1</f>
        <v>20</v>
      </c>
      <c r="B34" s="124">
        <f t="shared" si="2"/>
        <v>2029</v>
      </c>
      <c r="C34" s="120">
        <f ca="1">IFERROR(IF(VALUE(RIGHT($B$28,2))&gt;$A34,0,AVERAGEIFS(Elec_On_Peak, 'Avoided AC'!$D:$D, $B34, 'Avoided AC'!$E:$E, "Summer") +
        INDEX(AEPS!$S$8:$S$37, MATCH($A34, 'General Inputs'!$F$3:$F$32, 0)) +
        OFFSET(DRIPE!$I$10, MATCH('LI Output'!$B34, DRIPE!$I$11:$I$30, 0), MATCH('LI Output'!$B$28, DRIPE!$J$10:$N$10, 0), 1, 1) +
        INDEX(Arrearages!C$5:J$24, MATCH($A34, Arrearages!$B$5:$B$24, 0), MATCH('General Inputs'!$C$2, Arrearages!$C$4:$J$4, 0))),"Data Missing")</f>
        <v>117.63528223977997</v>
      </c>
      <c r="D34" s="14">
        <f ca="1">IFERROR(IF(VALUE(RIGHT($B$28,2))&gt;$A34,0,AVERAGEIFS(Elec_Off_Peak, 'Avoided AC'!$D:$D, $B34, 'Avoided AC'!$E:$E, "Summer") +
        INDEX(AEPS!$S$8:$S$37, MATCH($A34, 'General Inputs'!$F$3:$F$32, 0)) +
        OFFSET(DRIPE!$I$10, MATCH('LI Output'!$B34, DRIPE!$I$11:$I$30, 0), MATCH('LI Output'!$B$28, DRIPE!$J$10:$N$10, 0), 1, 1) +
        INDEX(Arrearages!C$5:J$24, MATCH($A34, Arrearages!$B$5:$B$24, 0), MATCH('General Inputs'!$C$2, Arrearages!$C$4:$J$4, 0))),"Data Missing")</f>
        <v>86.854766843185814</v>
      </c>
      <c r="E34" s="14">
        <f ca="1">IFERROR(IF(VALUE(RIGHT($B$28,2))&gt;$A34,0,AVERAGEIFS(Elec_On_Peak, 'Avoided AC'!$D:$D, $B34, 'Avoided AC'!$E:$E, "Winter") +
        INDEX(AEPS!$S$8:$S$37, MATCH($A34, 'General Inputs'!$F$3:$F$32, 0)) +
        OFFSET(DRIPE!$I$10, MATCH('LI Output'!$B34, DRIPE!$I$11:$I$30, 0), MATCH('LI Output'!$B$28, DRIPE!$J$10:$N$10, 0), 1, 1) +
        INDEX(Arrearages!C$5:J$24, MATCH($A34, Arrearages!$B$5:$B$24, 0), MATCH('General Inputs'!$C$2, Arrearages!$C$4:$J$4, 0))),"Data Missing")</f>
        <v>126.59389378345809</v>
      </c>
      <c r="F34" s="14">
        <f ca="1">IFERROR(IF(VALUE(RIGHT($B$28,2))&gt;$A34,0,AVERAGEIFS(Elec_Off_Peak, 'Avoided AC'!$D:$D, $B34, 'Avoided AC'!$E:$E, "Winter") +
        INDEX(AEPS!$S$8:$S$37, MATCH($A34, 'General Inputs'!$F$3:$F$32, 0)) +
        OFFSET(DRIPE!$I$10, MATCH('LI Output'!$B34, DRIPE!$I$11:$I$30, 0), MATCH('LI Output'!$B$28, DRIPE!$J$10:$N$10, 0), 1, 1) +
        INDEX(Arrearages!C$5:J$24, MATCH($A34, Arrearages!$B$5:$B$24, 0), MATCH('General Inputs'!$C$2, Arrearages!$C$4:$J$4, 0))),"Data Missing")</f>
        <v>113.0936677323203</v>
      </c>
      <c r="G34" s="14">
        <f ca="1">IFERROR(IF(VALUE(RIGHT($B$28,2))&gt;$A34,0,AVERAGEIFS(Elec_On_Peak, 'Avoided AC'!$D:$D, $B34, 'Avoided AC'!$E:$E, "Shoulder") +
        INDEX(AEPS!$S$8:$S$37, MATCH($A34, 'General Inputs'!$F$3:$F$32, 0)) +
        OFFSET(DRIPE!$I$10, MATCH('LI Output'!$B34, DRIPE!$I$11:$I$30, 0), MATCH('LI Output'!$B$28, DRIPE!$J$10:$N$10, 0), 1, 1) +
        INDEX(Arrearages!C$5:J$24, MATCH($A34, Arrearages!$B$5:$B$24, 0), MATCH('General Inputs'!$C$2, Arrearages!$C$4:$J$4, 0))),"Data Missing")</f>
        <v>103.04205711796354</v>
      </c>
      <c r="H34" s="14">
        <f ca="1">IFERROR(IF(VALUE(RIGHT($B$28,2))&gt;$A34,0,AVERAGEIFS(Elec_Off_Peak, 'Avoided AC'!$D:$D, $B34, 'Avoided AC'!$E:$E, "Shoulder") +
        INDEX(AEPS!$S$8:$S$37, MATCH($A34, 'General Inputs'!$F$3:$F$32, 0)) +
        OFFSET(DRIPE!$I$10, MATCH('LI Output'!$B34, DRIPE!$I$11:$I$30, 0), MATCH('LI Output'!$B$28, DRIPE!$J$10:$N$10, 0), 1, 1) +
        INDEX(Arrearages!C$5:J$24, MATCH($A34, Arrearages!$B$5:$B$24, 0), MATCH('General Inputs'!$C$2, Arrearages!$C$4:$J$4, 0))),"Data Missing")</f>
        <v>89.463945147299953</v>
      </c>
      <c r="I34" s="14">
        <f ca="1">(IF(VALUE(RIGHT($B$28,2))&gt;$A34,0,INDEX('Generation Capacity'!$E$27:$K$48,MATCH($A34,'Generation Capacity'!$B$27:$B$48,FALSE),MATCH(EDC_NAME,'Generation Capacity'!$E$26:$K$26,FALSE))+
        OFFSET(DRIPE!$B$35,MATCH('LI Output'!$B34,DRIPE!$B$11:$B$30,0),MATCH('LI Output'!$B$28,DRIPE!$C$10:$G$10,0),1,1)))</f>
        <v>39.556568546614422</v>
      </c>
      <c r="J34" s="14">
        <f ca="1">(IF(VALUE(RIGHT($B$28,2))&gt;$A34,0,INDEX('Generation Capacity'!$E$27:$K$48,MATCH($A34,'Generation Capacity'!$B$27:$B$48,FALSE),MATCH(EDC_NAME,'Generation Capacity'!$E$26:$K$26,FALSE))+
        OFFSET(DRIPE!$I$35,MATCH('LI Output'!$B34,DRIPE!$B$11:$B$30,0),MATCH('LI Output'!$B$28,DRIPE!$C$10:$G$10,0),1,1)))</f>
        <v>39.556568546614422</v>
      </c>
      <c r="K34" s="14">
        <f ca="1">IFERROR(IF(VALUE(RIGHT($B$28,2))&gt;$A34,0,INDEX('T&amp;D Capacity'!$E$4:$K$23,MATCH($A34,'T&amp;D Capacity'!$B$4:$B$23,FALSE),MATCH(EDC_NAME,'T&amp;D Capacity'!$E$3:$K$3,FALSE))),0)</f>
        <v>9.1984532626252022</v>
      </c>
      <c r="L34" s="14">
        <f ca="1">IFERROR(IF(VALUE(RIGHT($B$28,2))&gt;$A34,0,INDEX('T&amp;D Capacity'!$E$28:$K$47,MATCH($A34,'T&amp;D Capacity'!$B$28:$B$47,FALSE),MATCH(EDC_NAME,'T&amp;D Capacity'!$E$27:$K$27,FALSE))),0)</f>
        <v>9.1984532626252022</v>
      </c>
      <c r="M34" s="14">
        <f>IFERROR(IF(VALUE(RIGHT($B$28,2))&gt;$A34,0,INDEX('T&amp;D Capacity'!$M$4:$S$23,MATCH($A34,'T&amp;D Capacity'!$B$4:$B$23,FALSE),MATCH(EDC_NAME,'T&amp;D Capacity'!$M$3:$S$3,FALSE))),0)</f>
        <v>51.885319620370865</v>
      </c>
      <c r="N34" s="14">
        <f>IFERROR(IF(VALUE(RIGHT($B$28,2))&gt;$A34,0,INDEX('T&amp;D Capacity'!$M$28:$S$47,MATCH($A34,'T&amp;D Capacity'!$B$28:$B$47,FALSE),MATCH(EDC_NAME,'T&amp;D Capacity'!$M$27:$S$27,FALSE))),0)</f>
        <v>7.0145137757062912</v>
      </c>
      <c r="O34" s="57">
        <f>IFERROR(IF(VALUE(RIGHT($B$28,2))&gt;$A34,0,IFERROR(AVERAGEIF('NG Futures'!$E:$E,$B34,'NG Futures'!$I:$I),"Data Missing")),0)</f>
        <v>3.5623333333333331</v>
      </c>
      <c r="P34" s="318"/>
    </row>
    <row r="35" spans="1:43" s="50" customFormat="1" ht="15" customHeight="1" x14ac:dyDescent="0.2">
      <c r="A35" s="124">
        <f t="shared" si="2"/>
        <v>21</v>
      </c>
      <c r="B35" s="124">
        <f t="shared" si="2"/>
        <v>2030</v>
      </c>
      <c r="C35" s="120">
        <f ca="1">IFERROR(IF(VALUE(RIGHT($B$28,2))&gt;$A35,0,AVERAGEIFS(Elec_On_Peak, 'Avoided AC'!$D:$D, $B35, 'Avoided AC'!$E:$E, "Summer") +
        INDEX(AEPS!$S$8:$S$37, MATCH($A35, 'General Inputs'!$F$3:$F$32, 0)) +
        OFFSET(DRIPE!$I$10, MATCH('LI Output'!$B35, DRIPE!$I$11:$I$30, 0), MATCH('LI Output'!$B$28, DRIPE!$J$10:$N$10, 0), 1, 1) +
        INDEX(Arrearages!C$5:J$24, MATCH($A35, Arrearages!$B$5:$B$24, 0), MATCH('General Inputs'!$C$2, Arrearages!$C$4:$J$4, 0))),"Data Missing")</f>
        <v>124.02783583755695</v>
      </c>
      <c r="D35" s="14">
        <f ca="1">IFERROR(IF(VALUE(RIGHT($B$28,2))&gt;$A35,0,AVERAGEIFS(Elec_Off_Peak, 'Avoided AC'!$D:$D, $B35, 'Avoided AC'!$E:$E, "Summer") +
        INDEX(AEPS!$S$8:$S$37, MATCH($A35, 'General Inputs'!$F$3:$F$32, 0)) +
        OFFSET(DRIPE!$I$10, MATCH('LI Output'!$B35, DRIPE!$I$11:$I$30, 0), MATCH('LI Output'!$B$28, DRIPE!$J$10:$N$10, 0), 1, 1) +
        INDEX(Arrearages!C$5:J$24, MATCH($A35, Arrearages!$B$5:$B$24, 0), MATCH('General Inputs'!$C$2, Arrearages!$C$4:$J$4, 0))),"Data Missing")</f>
        <v>95.220430402282915</v>
      </c>
      <c r="E35" s="14">
        <f ca="1">IFERROR(IF(VALUE(RIGHT($B$28,2))&gt;$A35,0,AVERAGEIFS(Elec_On_Peak, 'Avoided AC'!$D:$D, $B35, 'Avoided AC'!$E:$E, "Winter") +
        INDEX(AEPS!$S$8:$S$37, MATCH($A35, 'General Inputs'!$F$3:$F$32, 0)) +
        OFFSET(DRIPE!$I$10, MATCH('LI Output'!$B35, DRIPE!$I$11:$I$30, 0), MATCH('LI Output'!$B$28, DRIPE!$J$10:$N$10, 0), 1, 1) +
        INDEX(Arrearages!C$5:J$24, MATCH($A35, Arrearages!$B$5:$B$24, 0), MATCH('General Inputs'!$C$2, Arrearages!$C$4:$J$4, 0))),"Data Missing")</f>
        <v>135.85611081620766</v>
      </c>
      <c r="F35" s="14">
        <f ca="1">IFERROR(IF(VALUE(RIGHT($B$28,2))&gt;$A35,0,AVERAGEIFS(Elec_Off_Peak, 'Avoided AC'!$D:$D, $B35, 'Avoided AC'!$E:$E, "Winter") +
        INDEX(AEPS!$S$8:$S$37, MATCH($A35, 'General Inputs'!$F$3:$F$32, 0)) +
        OFFSET(DRIPE!$I$10, MATCH('LI Output'!$B35, DRIPE!$I$11:$I$30, 0), MATCH('LI Output'!$B$28, DRIPE!$J$10:$N$10, 0), 1, 1) +
        INDEX(Arrearages!C$5:J$24, MATCH($A35, Arrearages!$B$5:$B$24, 0), MATCH('General Inputs'!$C$2, Arrearages!$C$4:$J$4, 0))),"Data Missing")</f>
        <v>121.68087346251301</v>
      </c>
      <c r="G35" s="14">
        <f ca="1">IFERROR(IF(VALUE(RIGHT($B$28,2))&gt;$A35,0,AVERAGEIFS(Elec_On_Peak, 'Avoided AC'!$D:$D, $B35, 'Avoided AC'!$E:$E, "Shoulder") +
        INDEX(AEPS!$S$8:$S$37, MATCH($A35, 'General Inputs'!$F$3:$F$32, 0)) +
        OFFSET(DRIPE!$I$10, MATCH('LI Output'!$B35, DRIPE!$I$11:$I$30, 0), MATCH('LI Output'!$B$28, DRIPE!$J$10:$N$10, 0), 1, 1) +
        INDEX(Arrearages!C$5:J$24, MATCH($A35, Arrearages!$B$5:$B$24, 0), MATCH('General Inputs'!$C$2, Arrearages!$C$4:$J$4, 0))),"Data Missing")</f>
        <v>113.17832724761371</v>
      </c>
      <c r="H35" s="14">
        <f ca="1">IFERROR(IF(VALUE(RIGHT($B$28,2))&gt;$A35,0,AVERAGEIFS(Elec_Off_Peak, 'Avoided AC'!$D:$D, $B35, 'Avoided AC'!$E:$E, "Shoulder") +
        INDEX(AEPS!$S$8:$S$37, MATCH($A35, 'General Inputs'!$F$3:$F$32, 0)) +
        OFFSET(DRIPE!$I$10, MATCH('LI Output'!$B35, DRIPE!$I$11:$I$30, 0), MATCH('LI Output'!$B$28, DRIPE!$J$10:$N$10, 0), 1, 1) +
        INDEX(Arrearages!C$5:J$24, MATCH($A35, Arrearages!$B$5:$B$24, 0), MATCH('General Inputs'!$C$2, Arrearages!$C$4:$J$4, 0))),"Data Missing")</f>
        <v>98.237211685248724</v>
      </c>
      <c r="I35" s="14">
        <f ca="1">(IF(VALUE(RIGHT($B$28,2))&gt;$A35,0,INDEX('Generation Capacity'!$E$27:$K$48,MATCH($A35,'Generation Capacity'!$B$27:$B$48,FALSE),MATCH(EDC_NAME,'Generation Capacity'!$E$26:$K$26,FALSE))+
        OFFSET(DRIPE!$B$35,MATCH('LI Output'!$B35,DRIPE!$B$11:$B$30,0),MATCH('LI Output'!$B$28,DRIPE!$C$10:$G$10,0),1,1)))</f>
        <v>40.366181495546314</v>
      </c>
      <c r="J35" s="14">
        <f ca="1">(IF(VALUE(RIGHT($B$28,2))&gt;$A35,0,INDEX('Generation Capacity'!$E$27:$K$48,MATCH($A35,'Generation Capacity'!$B$27:$B$48,FALSE),MATCH(EDC_NAME,'Generation Capacity'!$E$26:$K$26,FALSE))+
        OFFSET(DRIPE!$I$35,MATCH('LI Output'!$B35,DRIPE!$B$11:$B$30,0),MATCH('LI Output'!$B$28,DRIPE!$C$10:$G$10,0),1,1)))</f>
        <v>40.366181495546314</v>
      </c>
      <c r="K35" s="14">
        <f ca="1">IFERROR(IF(VALUE(RIGHT($B$28,2))&gt;$A35,0,INDEX('T&amp;D Capacity'!$E$4:$K$23,MATCH($A35,'T&amp;D Capacity'!$B$4:$B$23,FALSE),MATCH(EDC_NAME,'T&amp;D Capacity'!$E$3:$K$3,FALSE))),0)</f>
        <v>9.3890032112421178</v>
      </c>
      <c r="L35" s="14">
        <f ca="1">IFERROR(IF(VALUE(RIGHT($B$28,2))&gt;$A35,0,INDEX('T&amp;D Capacity'!$E$28:$K$47,MATCH($A35,'T&amp;D Capacity'!$B$28:$B$47,FALSE),MATCH(EDC_NAME,'T&amp;D Capacity'!$E$27:$K$27,FALSE))),0)</f>
        <v>9.3890032112421178</v>
      </c>
      <c r="M35" s="14">
        <f>IFERROR(IF(VALUE(RIGHT($B$28,2))&gt;$A35,0,INDEX('T&amp;D Capacity'!$M$4:$S$23,MATCH($A35,'T&amp;D Capacity'!$B$4:$B$23,FALSE),MATCH(EDC_NAME,'T&amp;D Capacity'!$M$3:$S$3,FALSE))),0)</f>
        <v>56.91817232966423</v>
      </c>
      <c r="N35" s="14">
        <f>IFERROR(IF(VALUE(RIGHT($B$28,2))&gt;$A35,0,INDEX('T&amp;D Capacity'!$M$28:$S$47,MATCH($A35,'T&amp;D Capacity'!$B$28:$B$47,FALSE),MATCH(EDC_NAME,'T&amp;D Capacity'!$M$27:$S$27,FALSE))),0)</f>
        <v>7.9289728403091431</v>
      </c>
      <c r="O35" s="57">
        <f>IFERROR(IF(VALUE(RIGHT($B$28,2))&gt;$A35,0,IFERROR(AVERAGEIF('NG Futures'!$E:$E,$B35,'NG Futures'!$I:$I),"Data Missing")),0)</f>
        <v>3.4177733333333329</v>
      </c>
      <c r="P35" s="319"/>
    </row>
    <row r="36" spans="1:43" s="50" customFormat="1" ht="15" customHeight="1" x14ac:dyDescent="0.2">
      <c r="A36" s="124">
        <f t="shared" si="2"/>
        <v>22</v>
      </c>
      <c r="B36" s="124">
        <f t="shared" si="2"/>
        <v>2031</v>
      </c>
      <c r="C36" s="121">
        <f ca="1">IFERROR(IF(VALUE(RIGHT($B$28,2))&gt;$A36,0,AVERAGEIFS(Elec_On_Peak, 'Avoided AC'!$D:$D, $B36, 'Avoided AC'!$E:$E, "Summer") +
        INDEX(AEPS!$S$8:$S$37, MATCH($A36, 'General Inputs'!$F$3:$F$32, 0)) +
        OFFSET(DRIPE!$I$10, MATCH('LI Output'!$B36, DRIPE!$I$11:$I$30, 0), MATCH('LI Output'!$B$28, DRIPE!$J$10:$N$10, 0), 1, 1) +
        INDEX(Arrearages!C$5:J$24, MATCH($A36, Arrearages!$B$5:$B$24, 0), MATCH('General Inputs'!$C$2, Arrearages!$C$4:$J$4, 0))),"Data Missing")</f>
        <v>122.50580714052344</v>
      </c>
      <c r="D36" s="15">
        <f ca="1">IFERROR(IF(VALUE(RIGHT($B$28,2))&gt;$A36,0,AVERAGEIFS(Elec_Off_Peak, 'Avoided AC'!$D:$D, $B36, 'Avoided AC'!$E:$E, "Summer") +
        INDEX(AEPS!$S$8:$S$37, MATCH($A36, 'General Inputs'!$F$3:$F$32, 0)) +
        OFFSET(DRIPE!$I$10, MATCH('LI Output'!$B36, DRIPE!$I$11:$I$30, 0), MATCH('LI Output'!$B$28, DRIPE!$J$10:$N$10, 0), 1, 1) +
        INDEX(Arrearages!C$5:J$24, MATCH($A36, Arrearages!$B$5:$B$24, 0), MATCH('General Inputs'!$C$2, Arrearages!$C$4:$J$4, 0))),"Data Missing")</f>
        <v>92.559874538793409</v>
      </c>
      <c r="E36" s="15">
        <f ca="1">IFERROR(IF(VALUE(RIGHT($B$28,2))&gt;$A36,0,AVERAGEIFS(Elec_On_Peak, 'Avoided AC'!$D:$D, $B36, 'Avoided AC'!$E:$E, "Winter") +
        INDEX(AEPS!$S$8:$S$37, MATCH($A36, 'General Inputs'!$F$3:$F$32, 0)) +
        OFFSET(DRIPE!$I$10, MATCH('LI Output'!$B36, DRIPE!$I$11:$I$30, 0), MATCH('LI Output'!$B$28, DRIPE!$J$10:$N$10, 0), 1, 1) +
        INDEX(Arrearages!C$5:J$24, MATCH($A36, Arrearages!$B$5:$B$24, 0), MATCH('General Inputs'!$C$2, Arrearages!$C$4:$J$4, 0))),"Data Missing")</f>
        <v>129.82124696382274</v>
      </c>
      <c r="F36" s="15">
        <f ca="1">IFERROR(IF(VALUE(RIGHT($B$28,2))&gt;$A36,0,AVERAGEIFS(Elec_Off_Peak, 'Avoided AC'!$D:$D, $B36, 'Avoided AC'!$E:$E, "Winter") +
        INDEX(AEPS!$S$8:$S$37, MATCH($A36, 'General Inputs'!$F$3:$F$32, 0)) +
        OFFSET(DRIPE!$I$10, MATCH('LI Output'!$B36, DRIPE!$I$11:$I$30, 0), MATCH('LI Output'!$B$28, DRIPE!$J$10:$N$10, 0), 1, 1) +
        INDEX(Arrearages!C$5:J$24, MATCH($A36, Arrearages!$B$5:$B$24, 0), MATCH('General Inputs'!$C$2, Arrearages!$C$4:$J$4, 0))),"Data Missing")</f>
        <v>117.71421620091265</v>
      </c>
      <c r="G36" s="15">
        <f ca="1">IFERROR(IF(VALUE(RIGHT($B$28,2))&gt;$A36,0,AVERAGEIFS(Elec_On_Peak, 'Avoided AC'!$D:$D, $B36, 'Avoided AC'!$E:$E, "Shoulder") +
        INDEX(AEPS!$S$8:$S$37, MATCH($A36, 'General Inputs'!$F$3:$F$32, 0)) +
        OFFSET(DRIPE!$I$10, MATCH('LI Output'!$B36, DRIPE!$I$11:$I$30, 0), MATCH('LI Output'!$B$28, DRIPE!$J$10:$N$10, 0), 1, 1) +
        INDEX(Arrearages!C$5:J$24, MATCH($A36, Arrearages!$B$5:$B$24, 0), MATCH('General Inputs'!$C$2, Arrearages!$C$4:$J$4, 0))),"Data Missing")</f>
        <v>108.48962229149593</v>
      </c>
      <c r="H36" s="15">
        <f ca="1">IFERROR(IF(VALUE(RIGHT($B$28,2))&gt;$A36,0,AVERAGEIFS(Elec_Off_Peak, 'Avoided AC'!$D:$D, $B36, 'Avoided AC'!$E:$E, "Shoulder") +
        INDEX(AEPS!$S$8:$S$37, MATCH($A36, 'General Inputs'!$F$3:$F$32, 0)) +
        OFFSET(DRIPE!$I$10, MATCH('LI Output'!$B36, DRIPE!$I$11:$I$30, 0), MATCH('LI Output'!$B$28, DRIPE!$J$10:$N$10, 0), 1, 1) +
        INDEX(Arrearages!C$5:J$24, MATCH($A36, Arrearages!$B$5:$B$24, 0), MATCH('General Inputs'!$C$2, Arrearages!$C$4:$J$4, 0))),"Data Missing")</f>
        <v>95.90130743878963</v>
      </c>
      <c r="I36" s="15">
        <f ca="1">(IF(VALUE(RIGHT($B$28,2))&gt;$A36,0,INDEX('Generation Capacity'!$E$27:$K$48,MATCH($A36,'Generation Capacity'!$B$27:$B$48,FALSE),MATCH(EDC_NAME,'Generation Capacity'!$E$26:$K$26,FALSE))+
        OFFSET(DRIPE!$B$35,MATCH('LI Output'!$B36,DRIPE!$B$11:$B$30,0),MATCH('LI Output'!$B$28,DRIPE!$C$10:$G$10,0),1,1)))</f>
        <v>41.192179915077226</v>
      </c>
      <c r="J36" s="15">
        <f ca="1">(IF(VALUE(RIGHT($B$28,2))&gt;$A36,0,INDEX('Generation Capacity'!$E$27:$K$48,MATCH($A36,'Generation Capacity'!$B$27:$B$48,FALSE),MATCH(EDC_NAME,'Generation Capacity'!$E$26:$K$26,FALSE))+
        OFFSET(DRIPE!$I$35,MATCH('LI Output'!$B36,DRIPE!$B$11:$B$30,0),MATCH('LI Output'!$B$28,DRIPE!$C$10:$G$10,0),1,1)))</f>
        <v>41.192179915077226</v>
      </c>
      <c r="K36" s="15">
        <f ca="1">IFERROR(IF(VALUE(RIGHT($B$28,2))&gt;$A36,0,INDEX('T&amp;D Capacity'!$E$4:$K$23,MATCH($A36,'T&amp;D Capacity'!$B$4:$B$23,FALSE),MATCH(EDC_NAME,'T&amp;D Capacity'!$E$3:$K$3,FALSE))),0)</f>
        <v>9.5835004846843326</v>
      </c>
      <c r="L36" s="15">
        <f ca="1">IFERROR(IF(VALUE(RIGHT($B$28,2))&gt;$A36,0,INDEX('T&amp;D Capacity'!$E$28:$K$47,MATCH($A36,'T&amp;D Capacity'!$B$28:$B$47,FALSE),MATCH(EDC_NAME,'T&amp;D Capacity'!$E$27:$K$27,FALSE))),0)</f>
        <v>9.5835004846843326</v>
      </c>
      <c r="M36" s="15">
        <f>IFERROR(IF(VALUE(RIGHT($B$28,2))&gt;$A36,0,INDEX('T&amp;D Capacity'!$M$4:$S$23,MATCH($A36,'T&amp;D Capacity'!$B$4:$B$23,FALSE),MATCH(EDC_NAME,'T&amp;D Capacity'!$M$3:$S$3,FALSE))),0)</f>
        <v>62.194589674472809</v>
      </c>
      <c r="N36" s="15">
        <f>IFERROR(IF(VALUE(RIGHT($B$28,2))&gt;$A36,0,INDEX('T&amp;D Capacity'!$M$28:$S$47,MATCH($A36,'T&amp;D Capacity'!$B$28:$B$47,FALSE),MATCH(EDC_NAME,'T&amp;D Capacity'!$M$27:$S$27,FALSE))),0)</f>
        <v>9.0186463743448257</v>
      </c>
      <c r="O36" s="16">
        <f>IFERROR(IF(VALUE(RIGHT($B$28,2))&gt;$A36,0,IFERROR(AVERAGEIF('NG Futures'!$E:$E,$B36,'NG Futures'!$I:$I),"Data Missing")),0)</f>
        <v>3.3679469428694606</v>
      </c>
      <c r="P36" s="320" t="s">
        <v>128</v>
      </c>
    </row>
    <row r="37" spans="1:43" s="50" customFormat="1" ht="15.75" customHeight="1" x14ac:dyDescent="0.2">
      <c r="A37" s="124">
        <f t="shared" si="2"/>
        <v>23</v>
      </c>
      <c r="B37" s="124">
        <f t="shared" si="2"/>
        <v>2032</v>
      </c>
      <c r="C37" s="121">
        <f ca="1">IFERROR(IF(VALUE(RIGHT($B$28,2))&gt;$A37,0,AVERAGEIFS(Elec_On_Peak, 'Avoided AC'!$D:$D, $B37, 'Avoided AC'!$E:$E, "Summer") +
        INDEX(AEPS!$S$8:$S$37, MATCH($A37, 'General Inputs'!$F$3:$F$32, 0)) +
        OFFSET(DRIPE!$I$10, MATCH('LI Output'!$B37, DRIPE!$I$11:$I$30, 0), MATCH('LI Output'!$B$28, DRIPE!$J$10:$N$10, 0), 1, 1) +
        INDEX(Arrearages!C$5:J$24, MATCH($A37, Arrearages!$B$5:$B$24, 0), MATCH('General Inputs'!$C$2, Arrearages!$C$4:$J$4, 0))),"Data Missing")</f>
        <v>93.852849833137839</v>
      </c>
      <c r="D37" s="15">
        <f ca="1">IFERROR(IF(VALUE(RIGHT($B$28,2))&gt;$A37,0,AVERAGEIFS(Elec_Off_Peak, 'Avoided AC'!$D:$D, $B37, 'Avoided AC'!$E:$E, "Summer") +
        INDEX(AEPS!$S$8:$S$37, MATCH($A37, 'General Inputs'!$F$3:$F$32, 0)) +
        OFFSET(DRIPE!$I$10, MATCH('LI Output'!$B37, DRIPE!$I$11:$I$30, 0), MATCH('LI Output'!$B$28, DRIPE!$J$10:$N$10, 0), 1, 1) +
        INDEX(Arrearages!C$5:J$24, MATCH($A37, Arrearages!$B$5:$B$24, 0), MATCH('General Inputs'!$C$2, Arrearages!$C$4:$J$4, 0))),"Data Missing")</f>
        <v>63.948587014300898</v>
      </c>
      <c r="E37" s="15">
        <f ca="1">IFERROR(IF(VALUE(RIGHT($B$28,2))&gt;$A37,0,AVERAGEIFS(Elec_On_Peak, 'Avoided AC'!$D:$D, $B37, 'Avoided AC'!$E:$E, "Winter") +
        INDEX(AEPS!$S$8:$S$37, MATCH($A37, 'General Inputs'!$F$3:$F$32, 0)) +
        OFFSET(DRIPE!$I$10, MATCH('LI Output'!$B37, DRIPE!$I$11:$I$30, 0), MATCH('LI Output'!$B$28, DRIPE!$J$10:$N$10, 0), 1, 1) +
        INDEX(Arrearages!C$5:J$24, MATCH($A37, Arrearages!$B$5:$B$24, 0), MATCH('General Inputs'!$C$2, Arrearages!$C$4:$J$4, 0))),"Data Missing")</f>
        <v>103.71595580353338</v>
      </c>
      <c r="F37" s="15">
        <f ca="1">IFERROR(IF(VALUE(RIGHT($B$28,2))&gt;$A37,0,AVERAGEIFS(Elec_Off_Peak, 'Avoided AC'!$D:$D, $B37, 'Avoided AC'!$E:$E, "Winter") +
        INDEX(AEPS!$S$8:$S$37, MATCH($A37, 'General Inputs'!$F$3:$F$32, 0)) +
        OFFSET(DRIPE!$I$10, MATCH('LI Output'!$B37, DRIPE!$I$11:$I$30, 0), MATCH('LI Output'!$B$28, DRIPE!$J$10:$N$10, 0), 1, 1) +
        INDEX(Arrearages!C$5:J$24, MATCH($A37, Arrearages!$B$5:$B$24, 0), MATCH('General Inputs'!$C$2, Arrearages!$C$4:$J$4, 0))),"Data Missing")</f>
        <v>90.857422969560915</v>
      </c>
      <c r="G37" s="15">
        <f ca="1">IFERROR(IF(VALUE(RIGHT($B$28,2))&gt;$A37,0,AVERAGEIFS(Elec_On_Peak, 'Avoided AC'!$D:$D, $B37, 'Avoided AC'!$E:$E, "Shoulder") +
        INDEX(AEPS!$S$8:$S$37, MATCH($A37, 'General Inputs'!$F$3:$F$32, 0)) +
        OFFSET(DRIPE!$I$10, MATCH('LI Output'!$B37, DRIPE!$I$11:$I$30, 0), MATCH('LI Output'!$B$28, DRIPE!$J$10:$N$10, 0), 1, 1) +
        INDEX(Arrearages!C$5:J$24, MATCH($A37, Arrearages!$B$5:$B$24, 0), MATCH('General Inputs'!$C$2, Arrearages!$C$4:$J$4, 0))),"Data Missing")</f>
        <v>80.485168143082561</v>
      </c>
      <c r="H37" s="15">
        <f ca="1">IFERROR(IF(VALUE(RIGHT($B$28,2))&gt;$A37,0,AVERAGEIFS(Elec_Off_Peak, 'Avoided AC'!$D:$D, $B37, 'Avoided AC'!$E:$E, "Shoulder") +
        INDEX(AEPS!$S$8:$S$37, MATCH($A37, 'General Inputs'!$F$3:$F$32, 0)) +
        OFFSET(DRIPE!$I$10, MATCH('LI Output'!$B37, DRIPE!$I$11:$I$30, 0), MATCH('LI Output'!$B$28, DRIPE!$J$10:$N$10, 0), 1, 1) +
        INDEX(Arrearages!C$5:J$24, MATCH($A37, Arrearages!$B$5:$B$24, 0), MATCH('General Inputs'!$C$2, Arrearages!$C$4:$J$4, 0))),"Data Missing")</f>
        <v>67.736622815072536</v>
      </c>
      <c r="I37" s="15">
        <f ca="1">(IF(VALUE(RIGHT($B$28,2))&gt;$A37,0,INDEX('Generation Capacity'!$E$27:$K$48,MATCH($A37,'Generation Capacity'!$B$27:$B$48,FALSE),MATCH(EDC_NAME,'Generation Capacity'!$E$26:$K$26,FALSE))+
        OFFSET(DRIPE!$B$35,MATCH('LI Output'!$B37,DRIPE!$B$11:$B$30,0),MATCH('LI Output'!$B$28,DRIPE!$C$10:$G$10,0),1,1)))</f>
        <v>28.214799660168399</v>
      </c>
      <c r="J37" s="15">
        <f ca="1">(IF(VALUE(RIGHT($B$28,2))&gt;$A37,0,INDEX('Generation Capacity'!$E$27:$K$48,MATCH($A37,'Generation Capacity'!$B$27:$B$48,FALSE),MATCH(EDC_NAME,'Generation Capacity'!$E$26:$K$26,FALSE))+
        OFFSET(DRIPE!$I$35,MATCH('LI Output'!$B37,DRIPE!$B$11:$B$30,0),MATCH('LI Output'!$B$28,DRIPE!$C$10:$G$10,0),1,1)))</f>
        <v>28.214799660168399</v>
      </c>
      <c r="K37" s="15">
        <f ca="1">IFERROR(IF(VALUE(RIGHT($B$28,2))&gt;$A37,0,INDEX('T&amp;D Capacity'!$E$4:$K$23,MATCH($A37,'T&amp;D Capacity'!$B$4:$B$23,FALSE),MATCH(EDC_NAME,'T&amp;D Capacity'!$E$3:$K$3,FALSE))),0)</f>
        <v>9.7820268534975199</v>
      </c>
      <c r="L37" s="15">
        <f ca="1">IFERROR(IF(VALUE(RIGHT($B$28,2))&gt;$A37,0,INDEX('T&amp;D Capacity'!$E$28:$K$47,MATCH($A37,'T&amp;D Capacity'!$B$28:$B$47,FALSE),MATCH(EDC_NAME,'T&amp;D Capacity'!$E$27:$K$27,FALSE))),0)</f>
        <v>9.7820268534975199</v>
      </c>
      <c r="M37" s="15">
        <f ca="1">IFERROR(IF(VALUE(RIGHT($B$28,2))&gt;$A37,0,INDEX('T&amp;D Capacity'!$M$4:$S$23,MATCH($A37,'T&amp;D Capacity'!$B$4:$B$23,FALSE),MATCH(EDC_NAME,'T&amp;D Capacity'!$M$3:$S$3,FALSE))),0)</f>
        <v>63.482977572781131</v>
      </c>
      <c r="N37" s="15">
        <f ca="1">IFERROR(IF(VALUE(RIGHT($B$28,2))&gt;$A37,0,INDEX('T&amp;D Capacity'!$M$28:$S$47,MATCH($A37,'T&amp;D Capacity'!$B$28:$B$47,FALSE),MATCH(EDC_NAME,'T&amp;D Capacity'!$M$27:$S$27,FALSE))),0)</f>
        <v>9.2054715452904787</v>
      </c>
      <c r="O37" s="16">
        <f>IFERROR(IF(VALUE(RIGHT($B$28,2))&gt;$A37,0,IFERROR(AVERAGEIF('NG Futures'!$E:$E,$B37,'NG Futures'!$I:$I),"Data Missing")),0)</f>
        <v>3.4331546501092309</v>
      </c>
      <c r="P37" s="321"/>
    </row>
    <row r="38" spans="1:43" s="50" customFormat="1" ht="15" customHeight="1" x14ac:dyDescent="0.2">
      <c r="A38" s="124">
        <f t="shared" si="2"/>
        <v>24</v>
      </c>
      <c r="B38" s="124">
        <f t="shared" si="2"/>
        <v>2033</v>
      </c>
      <c r="C38" s="121">
        <f ca="1">IFERROR(IF(VALUE(RIGHT($B$28,2))&gt;$A38,0,AVERAGEIFS(Elec_On_Peak, 'Avoided AC'!$D:$D, $B38, 'Avoided AC'!$E:$E, "Summer") +
        INDEX(AEPS!$S$8:$S$37, MATCH($A38, 'General Inputs'!$F$3:$F$32, 0)) +
        OFFSET(DRIPE!$I$10, MATCH('LI Output'!$B38, DRIPE!$I$11:$I$30, 0), MATCH('LI Output'!$B$28, DRIPE!$J$10:$N$10, 0), 1, 1) +
        INDEX(Arrearages!C$5:J$24, MATCH($A38, Arrearages!$B$5:$B$24, 0), MATCH('General Inputs'!$C$2, Arrearages!$C$4:$J$4, 0))),"Data Missing")</f>
        <v>96.636917803790226</v>
      </c>
      <c r="D38" s="15">
        <f ca="1">IFERROR(IF(VALUE(RIGHT($B$28,2))&gt;$A38,0,AVERAGEIFS(Elec_Off_Peak, 'Avoided AC'!$D:$D, $B38, 'Avoided AC'!$E:$E, "Summer") +
        INDEX(AEPS!$S$8:$S$37, MATCH($A38, 'General Inputs'!$F$3:$F$32, 0)) +
        OFFSET(DRIPE!$I$10, MATCH('LI Output'!$B38, DRIPE!$I$11:$I$30, 0), MATCH('LI Output'!$B$28, DRIPE!$J$10:$N$10, 0), 1, 1) +
        INDEX(Arrearages!C$5:J$24, MATCH($A38, Arrearages!$B$5:$B$24, 0), MATCH('General Inputs'!$C$2, Arrearages!$C$4:$J$4, 0))),"Data Missing")</f>
        <v>66.037646911223746</v>
      </c>
      <c r="E38" s="15">
        <f ca="1">IFERROR(IF(VALUE(RIGHT($B$28,2))&gt;$A38,0,AVERAGEIFS(Elec_On_Peak, 'Avoided AC'!$D:$D, $B38, 'Avoided AC'!$E:$E, "Winter") +
        INDEX(AEPS!$S$8:$S$37, MATCH($A38, 'General Inputs'!$F$3:$F$32, 0)) +
        OFFSET(DRIPE!$I$10, MATCH('LI Output'!$B38, DRIPE!$I$11:$I$30, 0), MATCH('LI Output'!$B$28, DRIPE!$J$10:$N$10, 0), 1, 1) +
        INDEX(Arrearages!C$5:J$24, MATCH($A38, Arrearages!$B$5:$B$24, 0), MATCH('General Inputs'!$C$2, Arrearages!$C$4:$J$4, 0))),"Data Missing")</f>
        <v>108.46263524538669</v>
      </c>
      <c r="F38" s="15">
        <f ca="1">IFERROR(IF(VALUE(RIGHT($B$28,2))&gt;$A38,0,AVERAGEIFS(Elec_Off_Peak, 'Avoided AC'!$D:$D, $B38, 'Avoided AC'!$E:$E, "Winter") +
        INDEX(AEPS!$S$8:$S$37, MATCH($A38, 'General Inputs'!$F$3:$F$32, 0)) +
        OFFSET(DRIPE!$I$10, MATCH('LI Output'!$B38, DRIPE!$I$11:$I$30, 0), MATCH('LI Output'!$B$28, DRIPE!$J$10:$N$10, 0), 1, 1) +
        INDEX(Arrearages!C$5:J$24, MATCH($A38, Arrearages!$B$5:$B$24, 0), MATCH('General Inputs'!$C$2, Arrearages!$C$4:$J$4, 0))),"Data Missing")</f>
        <v>94.298069152543803</v>
      </c>
      <c r="G38" s="15">
        <f ca="1">IFERROR(IF(VALUE(RIGHT($B$28,2))&gt;$A38,0,AVERAGEIFS(Elec_On_Peak, 'Avoided AC'!$D:$D, $B38, 'Avoided AC'!$E:$E, "Shoulder") +
        INDEX(AEPS!$S$8:$S$37, MATCH($A38, 'General Inputs'!$F$3:$F$32, 0)) +
        OFFSET(DRIPE!$I$10, MATCH('LI Output'!$B38, DRIPE!$I$11:$I$30, 0), MATCH('LI Output'!$B$28, DRIPE!$J$10:$N$10, 0), 1, 1) +
        INDEX(Arrearages!C$5:J$24, MATCH($A38, Arrearages!$B$5:$B$24, 0), MATCH('General Inputs'!$C$2, Arrearages!$C$4:$J$4, 0))),"Data Missing")</f>
        <v>83.297070539605855</v>
      </c>
      <c r="H38" s="15">
        <f ca="1">IFERROR(IF(VALUE(RIGHT($B$28,2))&gt;$A38,0,AVERAGEIFS(Elec_Off_Peak, 'Avoided AC'!$D:$D, $B38, 'Avoided AC'!$E:$E, "Shoulder") +
        INDEX(AEPS!$S$8:$S$37, MATCH($A38, 'General Inputs'!$F$3:$F$32, 0)) +
        OFFSET(DRIPE!$I$10, MATCH('LI Output'!$B38, DRIPE!$I$11:$I$30, 0), MATCH('LI Output'!$B$28, DRIPE!$J$10:$N$10, 0), 1, 1) +
        INDEX(Arrearages!C$5:J$24, MATCH($A38, Arrearages!$B$5:$B$24, 0), MATCH('General Inputs'!$C$2, Arrearages!$C$4:$J$4, 0))),"Data Missing")</f>
        <v>69.844851370101978</v>
      </c>
      <c r="I38" s="15">
        <f ca="1">(IF(VALUE(RIGHT($B$28,2))&gt;$A38,0,INDEX('Generation Capacity'!$E$27:$K$48,MATCH($A38,'Generation Capacity'!$B$27:$B$48,FALSE),MATCH(EDC_NAME,'Generation Capacity'!$E$26:$K$26,FALSE))+
        OFFSET(DRIPE!$B$35,MATCH('LI Output'!$B38,DRIPE!$B$11:$B$30,0),MATCH('LI Output'!$B$28,DRIPE!$C$10:$G$10,0),1,1)))</f>
        <v>28.799281471618873</v>
      </c>
      <c r="J38" s="15">
        <f ca="1">(IF(VALUE(RIGHT($B$28,2))&gt;$A38,0,INDEX('Generation Capacity'!$E$27:$K$48,MATCH($A38,'Generation Capacity'!$B$27:$B$48,FALSE),MATCH(EDC_NAME,'Generation Capacity'!$E$26:$K$26,FALSE))+
        OFFSET(DRIPE!$I$35,MATCH('LI Output'!$B38,DRIPE!$B$11:$B$30,0),MATCH('LI Output'!$B$28,DRIPE!$C$10:$G$10,0),1,1)))</f>
        <v>28.799281471618873</v>
      </c>
      <c r="K38" s="15">
        <f ca="1">IFERROR(IF(VALUE(RIGHT($B$28,2))&gt;$A38,0,INDEX('T&amp;D Capacity'!$E$4:$K$23,MATCH($A38,'T&amp;D Capacity'!$B$4:$B$23,FALSE),MATCH(EDC_NAME,'T&amp;D Capacity'!$E$3:$K$3,FALSE))),0)</f>
        <v>9.9846657821396683</v>
      </c>
      <c r="L38" s="15">
        <f ca="1">IFERROR(IF(VALUE(RIGHT($B$28,2))&gt;$A38,0,INDEX('T&amp;D Capacity'!$E$28:$K$47,MATCH($A38,'T&amp;D Capacity'!$B$28:$B$47,FALSE),MATCH(EDC_NAME,'T&amp;D Capacity'!$E$27:$K$27,FALSE))),0)</f>
        <v>9.9846657821396683</v>
      </c>
      <c r="M38" s="15">
        <f ca="1">IFERROR(IF(VALUE(RIGHT($B$28,2))&gt;$A38,0,INDEX('T&amp;D Capacity'!$M$4:$S$23,MATCH($A38,'T&amp;D Capacity'!$B$4:$B$23,FALSE),MATCH(EDC_NAME,'T&amp;D Capacity'!$M$3:$S$3,FALSE))),0)</f>
        <v>64.798054985164484</v>
      </c>
      <c r="N38" s="15">
        <f ca="1">IFERROR(IF(VALUE(RIGHT($B$28,2))&gt;$A38,0,INDEX('T&amp;D Capacity'!$M$28:$S$47,MATCH($A38,'T&amp;D Capacity'!$B$28:$B$47,FALSE),MATCH(EDC_NAME,'T&amp;D Capacity'!$M$27:$S$27,FALSE))),0)</f>
        <v>9.396166880676569</v>
      </c>
      <c r="O38" s="16">
        <f>IFERROR(IF(VALUE(RIGHT($B$28,2))&gt;$A38,0,IFERROR(AVERAGEIF('NG Futures'!$E:$E,$B38,'NG Futures'!$I:$I),"Data Missing")),0)</f>
        <v>3.6808695479745581</v>
      </c>
      <c r="P38" s="321"/>
    </row>
    <row r="39" spans="1:43" s="50" customFormat="1" ht="15" customHeight="1" x14ac:dyDescent="0.2">
      <c r="A39" s="124">
        <f t="shared" si="2"/>
        <v>25</v>
      </c>
      <c r="B39" s="124">
        <f t="shared" si="2"/>
        <v>2034</v>
      </c>
      <c r="C39" s="121">
        <f ca="1">IFERROR(IF(VALUE(RIGHT($B$28,2))&gt;$A39,0,AVERAGEIFS(Elec_On_Peak, 'Avoided AC'!$D:$D, $B39, 'Avoided AC'!$E:$E, "Summer") +
        INDEX(AEPS!$S$8:$S$37, MATCH($A39, 'General Inputs'!$F$3:$F$32, 0)) +
        OFFSET(DRIPE!$I$10, MATCH('LI Output'!$B39, DRIPE!$I$11:$I$30, 0), MATCH('LI Output'!$B$28, DRIPE!$J$10:$N$10, 0), 1, 1) +
        INDEX(Arrearages!C$5:J$24, MATCH($A39, Arrearages!$B$5:$B$24, 0), MATCH('General Inputs'!$C$2, Arrearages!$C$4:$J$4, 0))),"Data Missing")</f>
        <v>99.933740244154734</v>
      </c>
      <c r="D39" s="15">
        <f ca="1">IFERROR(IF(VALUE(RIGHT($B$28,2))&gt;$A39,0,AVERAGEIFS(Elec_Off_Peak, 'Avoided AC'!$D:$D, $B39, 'Avoided AC'!$E:$E, "Summer") +
        INDEX(AEPS!$S$8:$S$37, MATCH($A39, 'General Inputs'!$F$3:$F$32, 0)) +
        OFFSET(DRIPE!$I$10, MATCH('LI Output'!$B39, DRIPE!$I$11:$I$30, 0), MATCH('LI Output'!$B$28, DRIPE!$J$10:$N$10, 0), 1, 1) +
        INDEX(Arrearages!C$5:J$24, MATCH($A39, Arrearages!$B$5:$B$24, 0), MATCH('General Inputs'!$C$2, Arrearages!$C$4:$J$4, 0))),"Data Missing")</f>
        <v>68.483259297638241</v>
      </c>
      <c r="E39" s="15">
        <f ca="1">IFERROR(IF(VALUE(RIGHT($B$28,2))&gt;$A39,0,AVERAGEIFS(Elec_On_Peak, 'Avoided AC'!$D:$D, $B39, 'Avoided AC'!$E:$E, "Winter") +
        INDEX(AEPS!$S$8:$S$37, MATCH($A39, 'General Inputs'!$F$3:$F$32, 0)) +
        OFFSET(DRIPE!$I$10, MATCH('LI Output'!$B39, DRIPE!$I$11:$I$30, 0), MATCH('LI Output'!$B$28, DRIPE!$J$10:$N$10, 0), 1, 1) +
        INDEX(Arrearages!C$5:J$24, MATCH($A39, Arrearages!$B$5:$B$24, 0), MATCH('General Inputs'!$C$2, Arrearages!$C$4:$J$4, 0))),"Data Missing")</f>
        <v>114.2624055092225</v>
      </c>
      <c r="F39" s="15">
        <f ca="1">IFERROR(IF(VALUE(RIGHT($B$28,2))&gt;$A39,0,AVERAGEIFS(Elec_Off_Peak, 'Avoided AC'!$D:$D, $B39, 'Avoided AC'!$E:$E, "Winter") +
        INDEX(AEPS!$S$8:$S$37, MATCH($A39, 'General Inputs'!$F$3:$F$32, 0)) +
        OFFSET(DRIPE!$I$10, MATCH('LI Output'!$B39, DRIPE!$I$11:$I$30, 0), MATCH('LI Output'!$B$28, DRIPE!$J$10:$N$10, 0), 1, 1) +
        INDEX(Arrearages!C$5:J$24, MATCH($A39, Arrearages!$B$5:$B$24, 0), MATCH('General Inputs'!$C$2, Arrearages!$C$4:$J$4, 0))),"Data Missing")</f>
        <v>98.467379786201107</v>
      </c>
      <c r="G39" s="15">
        <f ca="1">IFERROR(IF(VALUE(RIGHT($B$28,2))&gt;$A39,0,AVERAGEIFS(Elec_On_Peak, 'Avoided AC'!$D:$D, $B39, 'Avoided AC'!$E:$E, "Shoulder") +
        INDEX(AEPS!$S$8:$S$37, MATCH($A39, 'General Inputs'!$F$3:$F$32, 0)) +
        OFFSET(DRIPE!$I$10, MATCH('LI Output'!$B39, DRIPE!$I$11:$I$30, 0), MATCH('LI Output'!$B$28, DRIPE!$J$10:$N$10, 0), 1, 1) +
        INDEX(Arrearages!C$5:J$24, MATCH($A39, Arrearages!$B$5:$B$24, 0), MATCH('General Inputs'!$C$2, Arrearages!$C$4:$J$4, 0))),"Data Missing")</f>
        <v>86.917843978920246</v>
      </c>
      <c r="H39" s="15">
        <f ca="1">IFERROR(IF(VALUE(RIGHT($B$28,2))&gt;$A39,0,AVERAGEIFS(Elec_Off_Peak, 'Avoided AC'!$D:$D, $B39, 'Avoided AC'!$E:$E, "Shoulder") +
        INDEX(AEPS!$S$8:$S$37, MATCH($A39, 'General Inputs'!$F$3:$F$32, 0)) +
        OFFSET(DRIPE!$I$10, MATCH('LI Output'!$B39, DRIPE!$I$11:$I$30, 0), MATCH('LI Output'!$B$28, DRIPE!$J$10:$N$10, 0), 1, 1) +
        INDEX(Arrearages!C$5:J$24, MATCH($A39, Arrearages!$B$5:$B$24, 0), MATCH('General Inputs'!$C$2, Arrearages!$C$4:$J$4, 0))),"Data Missing")</f>
        <v>72.513558206926561</v>
      </c>
      <c r="I39" s="15">
        <f ca="1">(IF(VALUE(RIGHT($B$28,2))&gt;$A39,0,INDEX('Generation Capacity'!$E$27:$K$48,MATCH($A39,'Generation Capacity'!$B$27:$B$48,FALSE),MATCH(EDC_NAME,'Generation Capacity'!$E$26:$K$26,FALSE))+
        OFFSET(DRIPE!$B$35,MATCH('LI Output'!$B39,DRIPE!$B$11:$B$30,0),MATCH('LI Output'!$B$28,DRIPE!$C$10:$G$10,0),1,1)))</f>
        <v>29.395871077277739</v>
      </c>
      <c r="J39" s="15">
        <f ca="1">(IF(VALUE(RIGHT($B$28,2))&gt;$A39,0,INDEX('Generation Capacity'!$E$27:$K$48,MATCH($A39,'Generation Capacity'!$B$27:$B$48,FALSE),MATCH(EDC_NAME,'Generation Capacity'!$E$26:$K$26,FALSE))+
        OFFSET(DRIPE!$I$35,MATCH('LI Output'!$B39,DRIPE!$B$11:$B$30,0),MATCH('LI Output'!$B$28,DRIPE!$C$10:$G$10,0),1,1)))</f>
        <v>29.395871077277739</v>
      </c>
      <c r="K39" s="15">
        <f ca="1">IFERROR(IF(VALUE(RIGHT($B$28,2))&gt;$A39,0,INDEX('T&amp;D Capacity'!$E$4:$K$23,MATCH($A39,'T&amp;D Capacity'!$B$4:$B$23,FALSE),MATCH(EDC_NAME,'T&amp;D Capacity'!$E$3:$K$3,FALSE))),0)</f>
        <v>10.191502464071213</v>
      </c>
      <c r="L39" s="15">
        <f ca="1">IFERROR(IF(VALUE(RIGHT($B$28,2))&gt;$A39,0,INDEX('T&amp;D Capacity'!$E$28:$K$47,MATCH($A39,'T&amp;D Capacity'!$B$28:$B$47,FALSE),MATCH(EDC_NAME,'T&amp;D Capacity'!$E$27:$K$27,FALSE))),0)</f>
        <v>10.191502464071213</v>
      </c>
      <c r="M39" s="15">
        <f ca="1">IFERROR(IF(VALUE(RIGHT($B$28,2))&gt;$A39,0,INDEX('T&amp;D Capacity'!$M$4:$S$23,MATCH($A39,'T&amp;D Capacity'!$B$4:$B$23,FALSE),MATCH(EDC_NAME,'T&amp;D Capacity'!$M$3:$S$3,FALSE))),0)</f>
        <v>66.140374796481908</v>
      </c>
      <c r="N39" s="15">
        <f ca="1">IFERROR(IF(VALUE(RIGHT($B$28,2))&gt;$A39,0,INDEX('T&amp;D Capacity'!$M$28:$S$47,MATCH($A39,'T&amp;D Capacity'!$B$28:$B$47,FALSE),MATCH(EDC_NAME,'T&amp;D Capacity'!$M$27:$S$27,FALSE))),0)</f>
        <v>9.5908125526379333</v>
      </c>
      <c r="O39" s="16">
        <f>IFERROR(IF(VALUE(RIGHT($B$28,2))&gt;$A39,0,IFERROR(AVERAGEIF('NG Futures'!$E:$E,$B39,'NG Futures'!$I:$I),"Data Missing")),0)</f>
        <v>3.9952671302460749</v>
      </c>
      <c r="P39" s="321"/>
    </row>
    <row r="40" spans="1:43" s="50" customFormat="1" ht="15" customHeight="1" x14ac:dyDescent="0.2">
      <c r="A40" s="124">
        <f t="shared" si="2"/>
        <v>26</v>
      </c>
      <c r="B40" s="124">
        <f t="shared" si="2"/>
        <v>2035</v>
      </c>
      <c r="C40" s="121">
        <f ca="1">IFERROR(IF(VALUE(RIGHT($B$28,2))&gt;$A40,0,AVERAGEIFS(Elec_On_Peak, 'Avoided AC'!$D:$D, $B40, 'Avoided AC'!$E:$E, "Summer") +
        INDEX(AEPS!$S$8:$S$37, MATCH($A40, 'General Inputs'!$F$3:$F$32, 0)) +
        OFFSET(DRIPE!$I$10, MATCH('LI Output'!$B40, DRIPE!$I$11:$I$30, 0), MATCH('LI Output'!$B$28, DRIPE!$J$10:$N$10, 0), 1, 1) +
        INDEX(Arrearages!C$5:J$24, MATCH($A40, Arrearages!$B$5:$B$24, 0), MATCH('General Inputs'!$C$2, Arrearages!$C$4:$J$4, 0))),"Data Missing")</f>
        <v>103.13861729669094</v>
      </c>
      <c r="D40" s="15">
        <f ca="1">IFERROR(IF(VALUE(RIGHT($B$28,2))&gt;$A40,0,AVERAGEIFS(Elec_Off_Peak, 'Avoided AC'!$D:$D, $B40, 'Avoided AC'!$E:$E, "Summer") +
        INDEX(AEPS!$S$8:$S$37, MATCH($A40, 'General Inputs'!$F$3:$F$32, 0)) +
        OFFSET(DRIPE!$I$10, MATCH('LI Output'!$B40, DRIPE!$I$11:$I$30, 0), MATCH('LI Output'!$B$28, DRIPE!$J$10:$N$10, 0), 1, 1) +
        INDEX(Arrearages!C$5:J$24, MATCH($A40, Arrearages!$B$5:$B$24, 0), MATCH('General Inputs'!$C$2, Arrearages!$C$4:$J$4, 0))),"Data Missing")</f>
        <v>70.869055878192299</v>
      </c>
      <c r="E40" s="15">
        <f ca="1">IFERROR(IF(VALUE(RIGHT($B$28,2))&gt;$A40,0,AVERAGEIFS(Elec_On_Peak, 'Avoided AC'!$D:$D, $B40, 'Avoided AC'!$E:$E, "Winter") +
        INDEX(AEPS!$S$8:$S$37, MATCH($A40, 'General Inputs'!$F$3:$F$32, 0)) +
        OFFSET(DRIPE!$I$10, MATCH('LI Output'!$B40, DRIPE!$I$11:$I$30, 0), MATCH('LI Output'!$B$28, DRIPE!$J$10:$N$10, 0), 1, 1) +
        INDEX(Arrearages!C$5:J$24, MATCH($A40, Arrearages!$B$5:$B$24, 0), MATCH('General Inputs'!$C$2, Arrearages!$C$4:$J$4, 0))),"Data Missing")</f>
        <v>119.72768821880611</v>
      </c>
      <c r="F40" s="15">
        <f ca="1">IFERROR(IF(VALUE(RIGHT($B$28,2))&gt;$A40,0,AVERAGEIFS(Elec_Off_Peak, 'Avoided AC'!$D:$D, $B40, 'Avoided AC'!$E:$E, "Winter") +
        INDEX(AEPS!$S$8:$S$37, MATCH($A40, 'General Inputs'!$F$3:$F$32, 0)) +
        OFFSET(DRIPE!$I$10, MATCH('LI Output'!$B40, DRIPE!$I$11:$I$30, 0), MATCH('LI Output'!$B$28, DRIPE!$J$10:$N$10, 0), 1, 1) +
        INDEX(Arrearages!C$5:J$24, MATCH($A40, Arrearages!$B$5:$B$24, 0), MATCH('General Inputs'!$C$2, Arrearages!$C$4:$J$4, 0))),"Data Missing")</f>
        <v>102.40984376212525</v>
      </c>
      <c r="G40" s="15">
        <f ca="1">IFERROR(IF(VALUE(RIGHT($B$28,2))&gt;$A40,0,AVERAGEIFS(Elec_On_Peak, 'Avoided AC'!$D:$D, $B40, 'Avoided AC'!$E:$E, "Shoulder") +
        INDEX(AEPS!$S$8:$S$37, MATCH($A40, 'General Inputs'!$F$3:$F$32, 0)) +
        OFFSET(DRIPE!$I$10, MATCH('LI Output'!$B40, DRIPE!$I$11:$I$30, 0), MATCH('LI Output'!$B$28, DRIPE!$J$10:$N$10, 0), 1, 1) +
        INDEX(Arrearages!C$5:J$24, MATCH($A40, Arrearages!$B$5:$B$24, 0), MATCH('General Inputs'!$C$2, Arrearages!$C$4:$J$4, 0))),"Data Missing")</f>
        <v>90.544767853443929</v>
      </c>
      <c r="H40" s="15">
        <f ca="1">IFERROR(IF(VALUE(RIGHT($B$28,2))&gt;$A40,0,AVERAGEIFS(Elec_Off_Peak, 'Avoided AC'!$D:$D, $B40, 'Avoided AC'!$E:$E, "Shoulder") +
        INDEX(AEPS!$S$8:$S$37, MATCH($A40, 'General Inputs'!$F$3:$F$32, 0)) +
        OFFSET(DRIPE!$I$10, MATCH('LI Output'!$B40, DRIPE!$I$11:$I$30, 0), MATCH('LI Output'!$B$28, DRIPE!$J$10:$N$10, 0), 1, 1) +
        INDEX(Arrearages!C$5:J$24, MATCH($A40, Arrearages!$B$5:$B$24, 0), MATCH('General Inputs'!$C$2, Arrearages!$C$4:$J$4, 0))),"Data Missing")</f>
        <v>75.190004620646249</v>
      </c>
      <c r="I40" s="15">
        <f ca="1">(IF(VALUE(RIGHT($B$28,2))&gt;$A40,0,INDEX('Generation Capacity'!$E$27:$K$48,MATCH($A40,'Generation Capacity'!$B$27:$B$48,FALSE),MATCH(EDC_NAME,'Generation Capacity'!$E$26:$K$26,FALSE))+
        OFFSET(DRIPE!$B$35,MATCH('LI Output'!$B40,DRIPE!$B$11:$B$30,0),MATCH('LI Output'!$B$28,DRIPE!$C$10:$G$10,0),1,1)))</f>
        <v>30.004819295353062</v>
      </c>
      <c r="J40" s="15">
        <f ca="1">(IF(VALUE(RIGHT($B$28,2))&gt;$A40,0,INDEX('Generation Capacity'!$E$27:$K$48,MATCH($A40,'Generation Capacity'!$B$27:$B$48,FALSE),MATCH(EDC_NAME,'Generation Capacity'!$E$26:$K$26,FALSE))+
        OFFSET(DRIPE!$I$35,MATCH('LI Output'!$B40,DRIPE!$B$11:$B$30,0),MATCH('LI Output'!$B$28,DRIPE!$C$10:$G$10,0),1,1)))</f>
        <v>30.004819295353062</v>
      </c>
      <c r="K40" s="15">
        <f ca="1">IFERROR(IF(VALUE(RIGHT($B$28,2))&gt;$A40,0,INDEX('T&amp;D Capacity'!$E$4:$K$23,MATCH($A40,'T&amp;D Capacity'!$B$4:$B$23,FALSE),MATCH(EDC_NAME,'T&amp;D Capacity'!$E$3:$K$3,FALSE))),0)</f>
        <v>10.402623857572072</v>
      </c>
      <c r="L40" s="15">
        <f ca="1">IFERROR(IF(VALUE(RIGHT($B$28,2))&gt;$A40,0,INDEX('T&amp;D Capacity'!$E$28:$K$47,MATCH($A40,'T&amp;D Capacity'!$B$28:$B$47,FALSE),MATCH(EDC_NAME,'T&amp;D Capacity'!$E$27:$K$27,FALSE))),0)</f>
        <v>10.402623857572072</v>
      </c>
      <c r="M40" s="15">
        <f ca="1">IFERROR(IF(VALUE(RIGHT($B$28,2))&gt;$A40,0,INDEX('T&amp;D Capacity'!$M$4:$S$23,MATCH($A40,'T&amp;D Capacity'!$B$4:$B$23,FALSE),MATCH(EDC_NAME,'T&amp;D Capacity'!$M$3:$S$3,FALSE))),0)</f>
        <v>67.510501344842098</v>
      </c>
      <c r="N40" s="15">
        <f ca="1">IFERROR(IF(VALUE(RIGHT($B$28,2))&gt;$A40,0,INDEX('T&amp;D Capacity'!$M$28:$S$47,MATCH($A40,'T&amp;D Capacity'!$B$28:$B$47,FALSE),MATCH(EDC_NAME,'T&amp;D Capacity'!$M$27:$S$27,FALSE))),0)</f>
        <v>9.7894903941099525</v>
      </c>
      <c r="O40" s="16">
        <f>IFERROR(IF(VALUE(RIGHT($B$28,2))&gt;$A40,0,IFERROR(AVERAGEIF('NG Futures'!$E:$E,$B40,'NG Futures'!$I:$I),"Data Missing")),0)</f>
        <v>4.297775585014695</v>
      </c>
      <c r="P40" s="321"/>
    </row>
    <row r="41" spans="1:43" s="50" customFormat="1" ht="15.75" customHeight="1" x14ac:dyDescent="0.2">
      <c r="A41" s="124">
        <f t="shared" si="2"/>
        <v>27</v>
      </c>
      <c r="B41" s="124">
        <f t="shared" si="2"/>
        <v>2036</v>
      </c>
      <c r="C41" s="121">
        <f ca="1">IFERROR(IF(VALUE(RIGHT($B$28,2))&gt;$A41,0,AVERAGEIFS(Elec_On_Peak, 'Avoided AC'!$D:$D, $B41, 'Avoided AC'!$E:$E, "Summer") +
        INDEX(AEPS!$S$8:$S$37, MATCH($A41, 'General Inputs'!$F$3:$F$32, 0)) +
        OFFSET(DRIPE!$I$10, MATCH('LI Output'!$B41, DRIPE!$I$11:$I$30, 0), MATCH('LI Output'!$B$28, DRIPE!$J$10:$N$10, 0), 1, 1) +
        INDEX(Arrearages!C$5:J$24, MATCH($A41, Arrearages!$B$5:$B$24, 0), MATCH('General Inputs'!$C$2, Arrearages!$C$4:$J$4, 0))),"Data Missing")</f>
        <v>106.14802988415305</v>
      </c>
      <c r="D41" s="15">
        <f ca="1">IFERROR(IF(VALUE(RIGHT($B$28,2))&gt;$A41,0,AVERAGEIFS(Elec_Off_Peak, 'Avoided AC'!$D:$D, $B41, 'Avoided AC'!$E:$E, "Summer") +
        INDEX(AEPS!$S$8:$S$37, MATCH($A41, 'General Inputs'!$F$3:$F$32, 0)) +
        OFFSET(DRIPE!$I$10, MATCH('LI Output'!$B41, DRIPE!$I$11:$I$30, 0), MATCH('LI Output'!$B$28, DRIPE!$J$10:$N$10, 0), 1, 1) +
        INDEX(Arrearages!C$5:J$24, MATCH($A41, Arrearages!$B$5:$B$24, 0), MATCH('General Inputs'!$C$2, Arrearages!$C$4:$J$4, 0))),"Data Missing")</f>
        <v>73.12381653192368</v>
      </c>
      <c r="E41" s="15">
        <f ca="1">IFERROR(IF(VALUE(RIGHT($B$28,2))&gt;$A41,0,AVERAGEIFS(Elec_On_Peak, 'Avoided AC'!$D:$D, $B41, 'Avoided AC'!$E:$E, "Winter") +
        INDEX(AEPS!$S$8:$S$37, MATCH($A41, 'General Inputs'!$F$3:$F$32, 0)) +
        OFFSET(DRIPE!$I$10, MATCH('LI Output'!$B41, DRIPE!$I$11:$I$30, 0), MATCH('LI Output'!$B$28, DRIPE!$J$10:$N$10, 0), 1, 1) +
        INDEX(Arrearages!C$5:J$24, MATCH($A41, Arrearages!$B$5:$B$24, 0), MATCH('General Inputs'!$C$2, Arrearages!$C$4:$J$4, 0))),"Data Missing")</f>
        <v>124.71159132922962</v>
      </c>
      <c r="F41" s="15">
        <f ca="1">IFERROR(IF(VALUE(RIGHT($B$28,2))&gt;$A41,0,AVERAGEIFS(Elec_Off_Peak, 'Avoided AC'!$D:$D, $B41, 'Avoided AC'!$E:$E, "Winter") +
        INDEX(AEPS!$S$8:$S$37, MATCH($A41, 'General Inputs'!$F$3:$F$32, 0)) +
        OFFSET(DRIPE!$I$10, MATCH('LI Output'!$B41, DRIPE!$I$11:$I$30, 0), MATCH('LI Output'!$B$28, DRIPE!$J$10:$N$10, 0), 1, 1) +
        INDEX(Arrearages!C$5:J$24, MATCH($A41, Arrearages!$B$5:$B$24, 0), MATCH('General Inputs'!$C$2, Arrearages!$C$4:$J$4, 0))),"Data Missing")</f>
        <v>106.02437141607557</v>
      </c>
      <c r="G41" s="15">
        <f ca="1">IFERROR(IF(VALUE(RIGHT($B$28,2))&gt;$A41,0,AVERAGEIFS(Elec_On_Peak, 'Avoided AC'!$D:$D, $B41, 'Avoided AC'!$E:$E, "Shoulder") +
        INDEX(AEPS!$S$8:$S$37, MATCH($A41, 'General Inputs'!$F$3:$F$32, 0)) +
        OFFSET(DRIPE!$I$10, MATCH('LI Output'!$B41, DRIPE!$I$11:$I$30, 0), MATCH('LI Output'!$B$28, DRIPE!$J$10:$N$10, 0), 1, 1) +
        INDEX(Arrearages!C$5:J$24, MATCH($A41, Arrearages!$B$5:$B$24, 0), MATCH('General Inputs'!$C$2, Arrearages!$C$4:$J$4, 0))),"Data Missing")</f>
        <v>93.708604669807769</v>
      </c>
      <c r="H41" s="15">
        <f ca="1">IFERROR(IF(VALUE(RIGHT($B$28,2))&gt;$A41,0,AVERAGEIFS(Elec_Off_Peak, 'Avoided AC'!$D:$D, $B41, 'Avoided AC'!$E:$E, "Shoulder") +
        INDEX(AEPS!$S$8:$S$37, MATCH($A41, 'General Inputs'!$F$3:$F$32, 0)) +
        OFFSET(DRIPE!$I$10, MATCH('LI Output'!$B41, DRIPE!$I$11:$I$30, 0), MATCH('LI Output'!$B$28, DRIPE!$J$10:$N$10, 0), 1, 1) +
        INDEX(Arrearages!C$5:J$24, MATCH($A41, Arrearages!$B$5:$B$24, 0), MATCH('General Inputs'!$C$2, Arrearages!$C$4:$J$4, 0))),"Data Missing")</f>
        <v>77.551112186683838</v>
      </c>
      <c r="I41" s="15">
        <f ca="1">(IF(VALUE(RIGHT($B$28,2))&gt;$A41,0,INDEX('Generation Capacity'!$E$27:$K$48,MATCH($A41,'Generation Capacity'!$B$27:$B$48,FALSE),MATCH(EDC_NAME,'Generation Capacity'!$E$26:$K$26,FALSE))+
        OFFSET(DRIPE!$B$35,MATCH('LI Output'!$B41,DRIPE!$B$11:$B$30,0),MATCH('LI Output'!$B$28,DRIPE!$C$10:$G$10,0),1,1)))</f>
        <v>30.626382139860866</v>
      </c>
      <c r="J41" s="15">
        <f ca="1">(IF(VALUE(RIGHT($B$28,2))&gt;$A41,0,INDEX('Generation Capacity'!$E$27:$K$48,MATCH($A41,'Generation Capacity'!$B$27:$B$48,FALSE),MATCH(EDC_NAME,'Generation Capacity'!$E$26:$K$26,FALSE))+
        OFFSET(DRIPE!$I$35,MATCH('LI Output'!$B41,DRIPE!$B$11:$B$30,0),MATCH('LI Output'!$B$28,DRIPE!$C$10:$G$10,0),1,1)))</f>
        <v>30.626382139860866</v>
      </c>
      <c r="K41" s="15">
        <f ca="1">IFERROR(IF(VALUE(RIGHT($B$28,2))&gt;$A41,0,INDEX('T&amp;D Capacity'!$E$4:$K$23,MATCH($A41,'T&amp;D Capacity'!$B$4:$B$23,FALSE),MATCH(EDC_NAME,'T&amp;D Capacity'!$E$3:$K$3,FALSE))),0)</f>
        <v>10.61811872230064</v>
      </c>
      <c r="L41" s="15">
        <f ca="1">IFERROR(IF(VALUE(RIGHT($B$28,2))&gt;$A41,0,INDEX('T&amp;D Capacity'!$E$28:$K$47,MATCH($A41,'T&amp;D Capacity'!$B$28:$B$47,FALSE),MATCH(EDC_NAME,'T&amp;D Capacity'!$E$27:$K$27,FALSE))),0)</f>
        <v>10.61811872230064</v>
      </c>
      <c r="M41" s="15">
        <f ca="1">IFERROR(IF(VALUE(RIGHT($B$28,2))&gt;$A41,0,INDEX('T&amp;D Capacity'!$M$4:$S$23,MATCH($A41,'T&amp;D Capacity'!$B$4:$B$23,FALSE),MATCH(EDC_NAME,'T&amp;D Capacity'!$M$3:$S$3,FALSE))),0)</f>
        <v>68.909010658862414</v>
      </c>
      <c r="N41" s="15">
        <f ca="1">IFERROR(IF(VALUE(RIGHT($B$28,2))&gt;$A41,0,INDEX('T&amp;D Capacity'!$M$28:$S$47,MATCH($A41,'T&amp;D Capacity'!$B$28:$B$47,FALSE),MATCH(EDC_NAME,'T&amp;D Capacity'!$M$27:$S$27,FALSE))),0)</f>
        <v>9.9922839332327538</v>
      </c>
      <c r="O41" s="16">
        <f>IFERROR(IF(VALUE(RIGHT($B$28,2))&gt;$A41,0,IFERROR(AVERAGEIF('NG Futures'!$E:$E,$B41,'NG Futures'!$I:$I),"Data Missing")),0)</f>
        <v>4.5669539736620006</v>
      </c>
      <c r="P41" s="322"/>
    </row>
    <row r="42" spans="1:43" s="50" customFormat="1" ht="15" customHeight="1" x14ac:dyDescent="0.2">
      <c r="A42" s="124">
        <f t="shared" si="2"/>
        <v>28</v>
      </c>
      <c r="B42" s="124">
        <f t="shared" si="2"/>
        <v>2037</v>
      </c>
      <c r="C42" s="122">
        <f ca="1">IFERROR(IF(VALUE(RIGHT($B$28,2))&gt;$A42,0,AVERAGEIFS(Elec_On_Peak, 'Avoided AC'!$D:$D, $B42, 'Avoided AC'!$E:$E, "Summer") +
        INDEX(AEPS!$S$8:$S$37, MATCH($A42, 'General Inputs'!$F$3:$F$32, 0)) +
        OFFSET(DRIPE!$I$10, MATCH('LI Output'!$B42, DRIPE!$I$11:$I$30, 0), MATCH('LI Output'!$B$28, DRIPE!$J$10:$N$10, 0), 1, 1) +
        INDEX(Arrearages!C$5:J$24, MATCH($A42, Arrearages!$B$5:$B$24, 0), MATCH('General Inputs'!$C$2, Arrearages!$C$4:$J$4, 0))),"Data Missing")</f>
        <v>108.14498023722658</v>
      </c>
      <c r="D42" s="17">
        <f ca="1">IFERROR(IF(VALUE(RIGHT($B$28,2))&gt;$A42,0,AVERAGEIFS(Elec_Off_Peak, 'Avoided AC'!$D:$D, $B42, 'Avoided AC'!$E:$E, "Summer") +
        INDEX(AEPS!$S$8:$S$37, MATCH($A42, 'General Inputs'!$F$3:$F$32, 0)) +
        OFFSET(DRIPE!$I$10, MATCH('LI Output'!$B42, DRIPE!$I$11:$I$30, 0), MATCH('LI Output'!$B$28, DRIPE!$J$10:$N$10, 0), 1, 1) +
        INDEX(Arrearages!C$5:J$24, MATCH($A42, Arrearages!$B$5:$B$24, 0), MATCH('General Inputs'!$C$2, Arrearages!$C$4:$J$4, 0))),"Data Missing")</f>
        <v>74.684973115619727</v>
      </c>
      <c r="E42" s="17">
        <f ca="1">IFERROR(IF(VALUE(RIGHT($B$28,2))&gt;$A42,0,AVERAGEIFS(Elec_On_Peak, 'Avoided AC'!$D:$D, $B42, 'Avoided AC'!$E:$E, "Winter") +
        INDEX(AEPS!$S$8:$S$37, MATCH($A42, 'General Inputs'!$F$3:$F$32, 0)) +
        OFFSET(DRIPE!$I$10, MATCH('LI Output'!$B42, DRIPE!$I$11:$I$30, 0), MATCH('LI Output'!$B$28, DRIPE!$J$10:$N$10, 0), 1, 1) +
        INDEX(Arrearages!C$5:J$24, MATCH($A42, Arrearages!$B$5:$B$24, 0), MATCH('General Inputs'!$C$2, Arrearages!$C$4:$J$4, 0))),"Data Missing")</f>
        <v>128.32637543752634</v>
      </c>
      <c r="F42" s="17">
        <f ca="1">IFERROR(IF(VALUE(RIGHT($B$28,2))&gt;$A42,0,AVERAGEIFS(Elec_Off_Peak, 'Avoided AC'!$D:$D, $B42, 'Avoided AC'!$E:$E, "Winter") +
        INDEX(AEPS!$S$8:$S$37, MATCH($A42, 'General Inputs'!$F$3:$F$32, 0)) +
        OFFSET(DRIPE!$I$10, MATCH('LI Output'!$B42, DRIPE!$I$11:$I$30, 0), MATCH('LI Output'!$B$28, DRIPE!$J$10:$N$10, 0), 1, 1) +
        INDEX(Arrearages!C$5:J$24, MATCH($A42, Arrearages!$B$5:$B$24, 0), MATCH('General Inputs'!$C$2, Arrearages!$C$4:$J$4, 0))),"Data Missing")</f>
        <v>108.69967715704045</v>
      </c>
      <c r="G42" s="17">
        <f ca="1">IFERROR(IF(VALUE(RIGHT($B$28,2))&gt;$A42,0,AVERAGEIFS(Elec_On_Peak, 'Avoided AC'!$D:$D, $B42, 'Avoided AC'!$E:$E, "Shoulder") +
        INDEX(AEPS!$S$8:$S$37, MATCH($A42, 'General Inputs'!$F$3:$F$32, 0)) +
        OFFSET(DRIPE!$I$10, MATCH('LI Output'!$B42, DRIPE!$I$11:$I$30, 0), MATCH('LI Output'!$B$28, DRIPE!$J$10:$N$10, 0), 1, 1) +
        INDEX(Arrearages!C$5:J$24, MATCH($A42, Arrearages!$B$5:$B$24, 0), MATCH('General Inputs'!$C$2, Arrearages!$C$4:$J$4, 0))),"Data Missing")</f>
        <v>95.852726665662999</v>
      </c>
      <c r="H42" s="17">
        <f ca="1">IFERROR(IF(VALUE(RIGHT($B$28,2))&gt;$A42,0,AVERAGEIFS(Elec_Off_Peak, 'Avoided AC'!$D:$D, $B42, 'Avoided AC'!$E:$E, "Shoulder") +
        INDEX(AEPS!$S$8:$S$37, MATCH($A42, 'General Inputs'!$F$3:$F$32, 0)) +
        OFFSET(DRIPE!$I$10, MATCH('LI Output'!$B42, DRIPE!$I$11:$I$30, 0), MATCH('LI Output'!$B$28, DRIPE!$J$10:$N$10, 0), 1, 1) +
        INDEX(Arrearages!C$5:J$24, MATCH($A42, Arrearages!$B$5:$B$24, 0), MATCH('General Inputs'!$C$2, Arrearages!$C$4:$J$4, 0))),"Data Missing")</f>
        <v>79.213621063994552</v>
      </c>
      <c r="I42" s="17">
        <f ca="1">(IF(VALUE(RIGHT($B$28,2))&gt;$A42,0,INDEX('Generation Capacity'!$E$27:$K$48,MATCH($A42,'Generation Capacity'!$B$27:$B$48,FALSE),MATCH(EDC_NAME,'Generation Capacity'!$E$26:$K$26,FALSE))+
        OFFSET(DRIPE!$B$35,MATCH('LI Output'!$B42,DRIPE!$B$11:$B$30,0),MATCH('LI Output'!$B$28,DRIPE!$C$10:$G$10,0),1,1)))</f>
        <v>31.260820928258536</v>
      </c>
      <c r="J42" s="17">
        <f ca="1">(IF(VALUE(RIGHT($B$28,2))&gt;$A42,0,INDEX('Generation Capacity'!$E$27:$K$48,MATCH($A42,'Generation Capacity'!$B$27:$B$48,FALSE),MATCH(EDC_NAME,'Generation Capacity'!$E$26:$K$26,FALSE))+
        OFFSET(DRIPE!$I$35,MATCH('LI Output'!$B42,DRIPE!$B$11:$B$30,0),MATCH('LI Output'!$B$28,DRIPE!$C$10:$G$10,0),1,1)))</f>
        <v>31.260820928258536</v>
      </c>
      <c r="K42" s="17">
        <f ca="1">IFERROR(IF(VALUE(RIGHT($B$28,2))&gt;$A42,0,INDEX('T&amp;D Capacity'!$E$4:$K$23,MATCH($A42,'T&amp;D Capacity'!$B$4:$B$23,FALSE),MATCH(EDC_NAME,'T&amp;D Capacity'!$E$3:$K$3,FALSE))),0)</f>
        <v>10.838077656610132</v>
      </c>
      <c r="L42" s="17">
        <f ca="1">IFERROR(IF(VALUE(RIGHT($B$28,2))&gt;$A42,0,INDEX('T&amp;D Capacity'!$E$28:$K$47,MATCH($A42,'T&amp;D Capacity'!$B$28:$B$47,FALSE),MATCH(EDC_NAME,'T&amp;D Capacity'!$E$27:$K$27,FALSE))),0)</f>
        <v>10.838077656610132</v>
      </c>
      <c r="M42" s="17">
        <f ca="1">IFERROR(IF(VALUE(RIGHT($B$28,2))&gt;$A42,0,INDEX('T&amp;D Capacity'!$M$4:$S$23,MATCH($A42,'T&amp;D Capacity'!$B$4:$B$23,FALSE),MATCH(EDC_NAME,'T&amp;D Capacity'!$M$3:$S$3,FALSE))),0)</f>
        <v>70.336490699842841</v>
      </c>
      <c r="N42" s="17">
        <f ca="1">IFERROR(IF(VALUE(RIGHT($B$28,2))&gt;$A42,0,INDEX('T&amp;D Capacity'!$M$28:$S$47,MATCH($A42,'T&amp;D Capacity'!$B$28:$B$47,FALSE),MATCH(EDC_NAME,'T&amp;D Capacity'!$M$27:$S$27,FALSE))),0)</f>
        <v>10.199278428468112</v>
      </c>
      <c r="O42" s="18">
        <f>IFERROR(IF(VALUE(RIGHT($B$28,2))&gt;$A42,0,IFERROR(AVERAGEIF('NG Futures'!$E:$E,$B42,'NG Futures'!$I:$I),"Data Missing")),0)</f>
        <v>4.7349761155534029</v>
      </c>
      <c r="P42" s="323" t="s">
        <v>129</v>
      </c>
    </row>
    <row r="43" spans="1:43" s="50" customFormat="1" ht="15" customHeight="1" x14ac:dyDescent="0.2">
      <c r="A43" s="124">
        <f t="shared" si="2"/>
        <v>29</v>
      </c>
      <c r="B43" s="124">
        <f t="shared" si="2"/>
        <v>2038</v>
      </c>
      <c r="C43" s="122">
        <f ca="1">IFERROR(IF(VALUE(RIGHT($B$28,2))&gt;$A43,0,AVERAGEIFS(Elec_On_Peak, 'Avoided AC'!$D:$D, $B43, 'Avoided AC'!$E:$E, "Summer") +
        INDEX(AEPS!$S$8:$S$37, MATCH($A43, 'General Inputs'!$F$3:$F$32, 0)) +
        OFFSET(DRIPE!$I$10, MATCH('LI Output'!$B43, DRIPE!$I$11:$I$30, 0), MATCH('LI Output'!$B$28, DRIPE!$J$10:$N$10, 0), 1, 1) +
        INDEX(Arrearages!C$5:J$24, MATCH($A43, Arrearages!$B$5:$B$24, 0), MATCH('General Inputs'!$C$2, Arrearages!$C$4:$J$4, 0))),"Data Missing")</f>
        <v>107.97700169126259</v>
      </c>
      <c r="D43" s="17">
        <f ca="1">IFERROR(IF(VALUE(RIGHT($B$28,2))&gt;$A43,0,AVERAGEIFS(Elec_Off_Peak, 'Avoided AC'!$D:$D, $B43, 'Avoided AC'!$E:$E, "Summer") +
        INDEX(AEPS!$S$8:$S$37, MATCH($A43, 'General Inputs'!$F$3:$F$32, 0)) +
        OFFSET(DRIPE!$I$10, MATCH('LI Output'!$B43, DRIPE!$I$11:$I$30, 0), MATCH('LI Output'!$B$28, DRIPE!$J$10:$N$10, 0), 1, 1) +
        INDEX(Arrearages!C$5:J$24, MATCH($A43, Arrearages!$B$5:$B$24, 0), MATCH('General Inputs'!$C$2, Arrearages!$C$4:$J$4, 0))),"Data Missing")</f>
        <v>74.758932467007128</v>
      </c>
      <c r="E43" s="17">
        <f ca="1">IFERROR(IF(VALUE(RIGHT($B$28,2))&gt;$A43,0,AVERAGEIFS(Elec_On_Peak, 'Avoided AC'!$D:$D, $B43, 'Avoided AC'!$E:$E, "Winter") +
        INDEX(AEPS!$S$8:$S$37, MATCH($A43, 'General Inputs'!$F$3:$F$32, 0)) +
        OFFSET(DRIPE!$I$10, MATCH('LI Output'!$B43, DRIPE!$I$11:$I$30, 0), MATCH('LI Output'!$B$28, DRIPE!$J$10:$N$10, 0), 1, 1) +
        INDEX(Arrearages!C$5:J$24, MATCH($A43, Arrearages!$B$5:$B$24, 0), MATCH('General Inputs'!$C$2, Arrearages!$C$4:$J$4, 0))),"Data Missing")</f>
        <v>127.0446302183162</v>
      </c>
      <c r="F43" s="17">
        <f ca="1">IFERROR(IF(VALUE(RIGHT($B$28,2))&gt;$A43,0,AVERAGEIFS(Elec_Off_Peak, 'Avoided AC'!$D:$D, $B43, 'Avoided AC'!$E:$E, "Winter") +
        INDEX(AEPS!$S$8:$S$37, MATCH($A43, 'General Inputs'!$F$3:$F$32, 0)) +
        OFFSET(DRIPE!$I$10, MATCH('LI Output'!$B43, DRIPE!$I$11:$I$30, 0), MATCH('LI Output'!$B$28, DRIPE!$J$10:$N$10, 0), 1, 1) +
        INDEX(Arrearages!C$5:J$24, MATCH($A43, Arrearages!$B$5:$B$24, 0), MATCH('General Inputs'!$C$2, Arrearages!$C$4:$J$4, 0))),"Data Missing")</f>
        <v>108.00662185294482</v>
      </c>
      <c r="G43" s="17">
        <f ca="1">IFERROR(IF(VALUE(RIGHT($B$28,2))&gt;$A43,0,AVERAGEIFS(Elec_On_Peak, 'Avoided AC'!$D:$D, $B43, 'Avoided AC'!$E:$E, "Shoulder") +
        INDEX(AEPS!$S$8:$S$37, MATCH($A43, 'General Inputs'!$F$3:$F$32, 0)) +
        OFFSET(DRIPE!$I$10, MATCH('LI Output'!$B43, DRIPE!$I$11:$I$30, 0), MATCH('LI Output'!$B$28, DRIPE!$J$10:$N$10, 0), 1, 1) +
        INDEX(Arrearages!C$5:J$24, MATCH($A43, Arrearages!$B$5:$B$24, 0), MATCH('General Inputs'!$C$2, Arrearages!$C$4:$J$4, 0))),"Data Missing")</f>
        <v>95.566735429649896</v>
      </c>
      <c r="H43" s="17">
        <f ca="1">IFERROR(IF(VALUE(RIGHT($B$28,2))&gt;$A43,0,AVERAGEIFS(Elec_Off_Peak, 'Avoided AC'!$D:$D, $B43, 'Avoided AC'!$E:$E, "Shoulder") +
        INDEX(AEPS!$S$8:$S$37, MATCH($A43, 'General Inputs'!$F$3:$F$32, 0)) +
        OFFSET(DRIPE!$I$10, MATCH('LI Output'!$B43, DRIPE!$I$11:$I$30, 0), MATCH('LI Output'!$B$28, DRIPE!$J$10:$N$10, 0), 1, 1) +
        INDEX(Arrearages!C$5:J$24, MATCH($A43, Arrearages!$B$5:$B$24, 0), MATCH('General Inputs'!$C$2, Arrearages!$C$4:$J$4, 0))),"Data Missing")</f>
        <v>79.206308938173123</v>
      </c>
      <c r="I43" s="17">
        <f ca="1">(IF(VALUE(RIGHT($B$28,2))&gt;$A43,0,INDEX('Generation Capacity'!$E$27:$K$48,MATCH($A43,'Generation Capacity'!$B$27:$B$48,FALSE),MATCH(EDC_NAME,'Generation Capacity'!$E$26:$K$26,FALSE))+
        OFFSET(DRIPE!$B$35,MATCH('LI Output'!$B43,DRIPE!$B$11:$B$30,0),MATCH('LI Output'!$B$28,DRIPE!$C$10:$G$10,0),1,1)))</f>
        <v>31.908402391307927</v>
      </c>
      <c r="J43" s="17">
        <f ca="1">(IF(VALUE(RIGHT($B$28,2))&gt;$A43,0,INDEX('Generation Capacity'!$E$27:$K$48,MATCH($A43,'Generation Capacity'!$B$27:$B$48,FALSE),MATCH(EDC_NAME,'Generation Capacity'!$E$26:$K$26,FALSE))+
        OFFSET(DRIPE!$I$35,MATCH('LI Output'!$B43,DRIPE!$B$11:$B$30,0),MATCH('LI Output'!$B$28,DRIPE!$C$10:$G$10,0),1,1)))</f>
        <v>31.908402391307927</v>
      </c>
      <c r="K43" s="17">
        <f ca="1">IFERROR(IF(VALUE(RIGHT($B$28,2))&gt;$A43,0,INDEX('T&amp;D Capacity'!$E$4:$K$23,MATCH($A43,'T&amp;D Capacity'!$B$4:$B$23,FALSE),MATCH(EDC_NAME,'T&amp;D Capacity'!$E$3:$K$3,FALSE))),0)</f>
        <v>11.062593135637941</v>
      </c>
      <c r="L43" s="17">
        <f ca="1">IFERROR(IF(VALUE(RIGHT($B$28,2))&gt;$A43,0,INDEX('T&amp;D Capacity'!$E$28:$K$47,MATCH($A43,'T&amp;D Capacity'!$B$28:$B$47,FALSE),MATCH(EDC_NAME,'T&amp;D Capacity'!$E$27:$K$27,FALSE))),0)</f>
        <v>11.062593135637941</v>
      </c>
      <c r="M43" s="17">
        <f ca="1">IFERROR(IF(VALUE(RIGHT($B$28,2))&gt;$A43,0,INDEX('T&amp;D Capacity'!$M$4:$S$23,MATCH($A43,'T&amp;D Capacity'!$B$4:$B$23,FALSE),MATCH(EDC_NAME,'T&amp;D Capacity'!$M$3:$S$3,FALSE))),0)</f>
        <v>71.793541608956687</v>
      </c>
      <c r="N43" s="17">
        <f ca="1">IFERROR(IF(VALUE(RIGHT($B$28,2))&gt;$A43,0,INDEX('T&amp;D Capacity'!$M$28:$S$47,MATCH($A43,'T&amp;D Capacity'!$B$28:$B$47,FALSE),MATCH(EDC_NAME,'T&amp;D Capacity'!$M$27:$S$27,FALSE))),0)</f>
        <v>10.410560904443814</v>
      </c>
      <c r="O43" s="18">
        <f>IFERROR(IF(VALUE(RIGHT($B$28,2))&gt;$A43,0,IFERROR(AVERAGEIF('NG Futures'!$E:$E,$B43,'NG Futures'!$I:$I),"Data Missing")),0)</f>
        <v>4.6357120000208072</v>
      </c>
      <c r="P43" s="324"/>
    </row>
    <row r="44" spans="1:43" s="50" customFormat="1" ht="15" customHeight="1" x14ac:dyDescent="0.2">
      <c r="A44" s="124">
        <f t="shared" si="2"/>
        <v>30</v>
      </c>
      <c r="B44" s="124">
        <f t="shared" si="2"/>
        <v>2039</v>
      </c>
      <c r="C44" s="122">
        <f ca="1">IFERROR(IF(VALUE(RIGHT($B$28,2))&gt;$A44,0,AVERAGEIFS(Elec_On_Peak, 'Avoided AC'!$D:$D, $B44, 'Avoided AC'!$E:$E, "Summer") +
        INDEX(AEPS!$S$8:$S$37, MATCH($A44, 'General Inputs'!$F$3:$F$32, 0)) +
        OFFSET(DRIPE!$I$10, MATCH('LI Output'!$B44, DRIPE!$I$11:$I$30, 0), MATCH('LI Output'!$B$28, DRIPE!$J$10:$N$10, 0), 1, 1) +
        INDEX(Arrearages!C$5:J$24, MATCH($A44, Arrearages!$B$5:$B$24, 0), MATCH('General Inputs'!$C$2, Arrearages!$C$4:$J$4, 0))),"Data Missing")</f>
        <v>108.00936567689774</v>
      </c>
      <c r="D44" s="17">
        <f ca="1">IFERROR(IF(VALUE(RIGHT($B$28,2))&gt;$A44,0,AVERAGEIFS(Elec_Off_Peak, 'Avoided AC'!$D:$D, $B44, 'Avoided AC'!$E:$E, "Summer") +
        INDEX(AEPS!$S$8:$S$37, MATCH($A44, 'General Inputs'!$F$3:$F$32, 0)) +
        OFFSET(DRIPE!$I$10, MATCH('LI Output'!$B44, DRIPE!$I$11:$I$30, 0), MATCH('LI Output'!$B$28, DRIPE!$J$10:$N$10, 0), 1, 1) +
        INDEX(Arrearages!C$5:J$24, MATCH($A44, Arrearages!$B$5:$B$24, 0), MATCH('General Inputs'!$C$2, Arrearages!$C$4:$J$4, 0))),"Data Missing")</f>
        <v>74.974653976476645</v>
      </c>
      <c r="E44" s="17">
        <f ca="1">IFERROR(IF(VALUE(RIGHT($B$28,2))&gt;$A44,0,AVERAGEIFS(Elec_On_Peak, 'Avoided AC'!$D:$D, $B44, 'Avoided AC'!$E:$E, "Winter") +
        INDEX(AEPS!$S$8:$S$37, MATCH($A44, 'General Inputs'!$F$3:$F$32, 0)) +
        OFFSET(DRIPE!$I$10, MATCH('LI Output'!$B44, DRIPE!$I$11:$I$30, 0), MATCH('LI Output'!$B$28, DRIPE!$J$10:$N$10, 0), 1, 1) +
        INDEX(Arrearages!C$5:J$24, MATCH($A44, Arrearages!$B$5:$B$24, 0), MATCH('General Inputs'!$C$2, Arrearages!$C$4:$J$4, 0))),"Data Missing")</f>
        <v>126.23290362710769</v>
      </c>
      <c r="F44" s="17">
        <f ca="1">IFERROR(IF(VALUE(RIGHT($B$28,2))&gt;$A44,0,AVERAGEIFS(Elec_Off_Peak, 'Avoided AC'!$D:$D, $B44, 'Avoided AC'!$E:$E, "Winter") +
        INDEX(AEPS!$S$8:$S$37, MATCH($A44, 'General Inputs'!$F$3:$F$32, 0)) +
        OFFSET(DRIPE!$I$10, MATCH('LI Output'!$B44, DRIPE!$I$11:$I$30, 0), MATCH('LI Output'!$B$28, DRIPE!$J$10:$N$10, 0), 1, 1) +
        INDEX(Arrearages!C$5:J$24, MATCH($A44, Arrearages!$B$5:$B$24, 0), MATCH('General Inputs'!$C$2, Arrearages!$C$4:$J$4, 0))),"Data Missing")</f>
        <v>107.64104580831604</v>
      </c>
      <c r="G44" s="17">
        <f ca="1">IFERROR(IF(VALUE(RIGHT($B$28,2))&gt;$A44,0,AVERAGEIFS(Elec_On_Peak, 'Avoided AC'!$D:$D, $B44, 'Avoided AC'!$E:$E, "Shoulder") +
        INDEX(AEPS!$S$8:$S$37, MATCH($A44, 'General Inputs'!$F$3:$F$32, 0)) +
        OFFSET(DRIPE!$I$10, MATCH('LI Output'!$B44, DRIPE!$I$11:$I$30, 0), MATCH('LI Output'!$B$28, DRIPE!$J$10:$N$10, 0), 1, 1) +
        INDEX(Arrearages!C$5:J$24, MATCH($A44, Arrearages!$B$5:$B$24, 0), MATCH('General Inputs'!$C$2, Arrearages!$C$4:$J$4, 0))),"Data Missing")</f>
        <v>95.509661113698854</v>
      </c>
      <c r="H44" s="17">
        <f ca="1">IFERROR(IF(VALUE(RIGHT($B$28,2))&gt;$A44,0,AVERAGEIFS(Elec_Off_Peak, 'Avoided AC'!$D:$D, $B44, 'Avoided AC'!$E:$E, "Shoulder") +
        INDEX(AEPS!$S$8:$S$37, MATCH($A44, 'General Inputs'!$F$3:$F$32, 0)) +
        OFFSET(DRIPE!$I$10, MATCH('LI Output'!$B44, DRIPE!$I$11:$I$30, 0), MATCH('LI Output'!$B$28, DRIPE!$J$10:$N$10, 0), 1, 1) +
        INDEX(Arrearages!C$5:J$24, MATCH($A44, Arrearages!$B$5:$B$24, 0), MATCH('General Inputs'!$C$2, Arrearages!$C$4:$J$4, 0))),"Data Missing")</f>
        <v>79.360437216559362</v>
      </c>
      <c r="I44" s="17">
        <f ca="1">(IF(VALUE(RIGHT($B$28,2))&gt;$A44,0,INDEX('Generation Capacity'!$E$27:$K$48,MATCH($A44,'Generation Capacity'!$B$27:$B$48,FALSE),MATCH(EDC_NAME,'Generation Capacity'!$E$26:$K$26,FALSE))+
        OFFSET(DRIPE!$B$35,MATCH('LI Output'!$B44,DRIPE!$B$11:$B$30,0),MATCH('LI Output'!$B$28,DRIPE!$C$10:$G$10,0),1,1)))</f>
        <v>32.569398785214304</v>
      </c>
      <c r="J44" s="17">
        <f ca="1">(IF(VALUE(RIGHT($B$28,2))&gt;$A44,0,INDEX('Generation Capacity'!$E$27:$K$48,MATCH($A44,'Generation Capacity'!$B$27:$B$48,FALSE),MATCH(EDC_NAME,'Generation Capacity'!$E$26:$K$26,FALSE))+
        OFFSET(DRIPE!$I$35,MATCH('LI Output'!$B44,DRIPE!$B$11:$B$30,0),MATCH('LI Output'!$B$28,DRIPE!$C$10:$G$10,0),1,1)))</f>
        <v>32.569398785214304</v>
      </c>
      <c r="K44" s="17">
        <f ca="1">IFERROR(IF(VALUE(RIGHT($B$28,2))&gt;$A44,0,INDEX('T&amp;D Capacity'!$E$4:$K$23,MATCH($A44,'T&amp;D Capacity'!$B$4:$B$23,FALSE),MATCH(EDC_NAME,'T&amp;D Capacity'!$E$3:$K$3,FALSE))),0)</f>
        <v>11.291759550184038</v>
      </c>
      <c r="L44" s="17">
        <f ca="1">IFERROR(IF(VALUE(RIGHT($B$28,2))&gt;$A44,0,INDEX('T&amp;D Capacity'!$E$28:$K$47,MATCH($A44,'T&amp;D Capacity'!$B$28:$B$47,FALSE),MATCH(EDC_NAME,'T&amp;D Capacity'!$E$27:$K$27,FALSE))),0)</f>
        <v>11.291759550184038</v>
      </c>
      <c r="M44" s="17">
        <f ca="1">IFERROR(IF(VALUE(RIGHT($B$28,2))&gt;$A44,0,INDEX('T&amp;D Capacity'!$M$4:$S$23,MATCH($A44,'T&amp;D Capacity'!$B$4:$B$23,FALSE),MATCH(EDC_NAME,'T&amp;D Capacity'!$M$3:$S$3,FALSE))),0)</f>
        <v>73.280775959561936</v>
      </c>
      <c r="N44" s="17">
        <f ca="1">IFERROR(IF(VALUE(RIGHT($B$28,2))&gt;$A44,0,INDEX('T&amp;D Capacity'!$M$28:$S$47,MATCH($A44,'T&amp;D Capacity'!$B$28:$B$47,FALSE),MATCH(EDC_NAME,'T&amp;D Capacity'!$M$27:$S$27,FALSE))),0)</f>
        <v>10.626220188540552</v>
      </c>
      <c r="O44" s="18">
        <f>IFERROR(IF(VALUE(RIGHT($B$28,2))&gt;$A44,0,IFERROR(AVERAGEIF('NG Futures'!$E:$E,$B44,'NG Futures'!$I:$I),"Data Missing")),0)</f>
        <v>4.5604826844447048</v>
      </c>
      <c r="P44" s="324"/>
    </row>
    <row r="45" spans="1:43" s="50" customFormat="1" ht="15.75" customHeight="1" x14ac:dyDescent="0.2">
      <c r="A45" s="124">
        <f t="shared" si="2"/>
        <v>31</v>
      </c>
      <c r="B45" s="124">
        <f t="shared" si="2"/>
        <v>2040</v>
      </c>
      <c r="C45" s="122">
        <f ca="1">IFERROR(IF(VALUE(RIGHT($B$28,2))&gt;$A45,0,AVERAGEIFS(Elec_On_Peak, 'Avoided AC'!$D:$D, $B45, 'Avoided AC'!$E:$E, "Summer") +
        INDEX(AEPS!$S$8:$S$37, MATCH($A45, 'General Inputs'!$F$3:$F$32, 0)) +
        OFFSET(DRIPE!$I$10, MATCH('LI Output'!$B45, DRIPE!$I$11:$I$30, 0), MATCH('LI Output'!$B$28, DRIPE!$J$10:$N$10, 0), 1, 1) +
        INDEX(Arrearages!C$5:J$24, MATCH($A45, Arrearages!$B$5:$B$24, 0), MATCH('General Inputs'!$C$2, Arrearages!$C$4:$J$4, 0))),"Data Missing")</f>
        <v>108.89398769395332</v>
      </c>
      <c r="D45" s="17">
        <f ca="1">IFERROR(IF(VALUE(RIGHT($B$28,2))&gt;$A45,0,AVERAGEIFS(Elec_Off_Peak, 'Avoided AC'!$D:$D, $B45, 'Avoided AC'!$E:$E, "Summer") +
        INDEX(AEPS!$S$8:$S$37, MATCH($A45, 'General Inputs'!$F$3:$F$32, 0)) +
        OFFSET(DRIPE!$I$10, MATCH('LI Output'!$B45, DRIPE!$I$11:$I$30, 0), MATCH('LI Output'!$B$28, DRIPE!$J$10:$N$10, 0), 1, 1) +
        INDEX(Arrearages!C$5:J$24, MATCH($A45, Arrearages!$B$5:$B$24, 0), MATCH('General Inputs'!$C$2, Arrearages!$C$4:$J$4, 0))),"Data Missing")</f>
        <v>75.781166368535537</v>
      </c>
      <c r="E45" s="17">
        <f ca="1">IFERROR(IF(VALUE(RIGHT($B$28,2))&gt;$A45,0,AVERAGEIFS(Elec_On_Peak, 'Avoided AC'!$D:$D, $B45, 'Avoided AC'!$E:$E, "Winter") +
        INDEX(AEPS!$S$8:$S$37, MATCH($A45, 'General Inputs'!$F$3:$F$32, 0)) +
        OFFSET(DRIPE!$I$10, MATCH('LI Output'!$B45, DRIPE!$I$11:$I$30, 0), MATCH('LI Output'!$B$28, DRIPE!$J$10:$N$10, 0), 1, 1) +
        INDEX(Arrearages!C$5:J$24, MATCH($A45, Arrearages!$B$5:$B$24, 0), MATCH('General Inputs'!$C$2, Arrearages!$C$4:$J$4, 0))),"Data Missing")</f>
        <v>127.47710509878132</v>
      </c>
      <c r="F45" s="17">
        <f ca="1">IFERROR(IF(VALUE(RIGHT($B$28,2))&gt;$A45,0,AVERAGEIFS(Elec_Off_Peak, 'Avoided AC'!$D:$D, $B45, 'Avoided AC'!$E:$E, "Winter") +
        INDEX(AEPS!$S$8:$S$37, MATCH($A45, 'General Inputs'!$F$3:$F$32, 0)) +
        OFFSET(DRIPE!$I$10, MATCH('LI Output'!$B45, DRIPE!$I$11:$I$30, 0), MATCH('LI Output'!$B$28, DRIPE!$J$10:$N$10, 0), 1, 1) +
        INDEX(Arrearages!C$5:J$24, MATCH($A45, Arrearages!$B$5:$B$24, 0), MATCH('General Inputs'!$C$2, Arrearages!$C$4:$J$4, 0))),"Data Missing")</f>
        <v>108.69518880212277</v>
      </c>
      <c r="G45" s="17">
        <f ca="1">IFERROR(IF(VALUE(RIGHT($B$28,2))&gt;$A45,0,AVERAGEIFS(Elec_On_Peak, 'Avoided AC'!$D:$D, $B45, 'Avoided AC'!$E:$E, "Shoulder") +
        INDEX(AEPS!$S$8:$S$37, MATCH($A45, 'General Inputs'!$F$3:$F$32, 0)) +
        OFFSET(DRIPE!$I$10, MATCH('LI Output'!$B45, DRIPE!$I$11:$I$30, 0), MATCH('LI Output'!$B$28, DRIPE!$J$10:$N$10, 0), 1, 1) +
        INDEX(Arrearages!C$5:J$24, MATCH($A45, Arrearages!$B$5:$B$24, 0), MATCH('General Inputs'!$C$2, Arrearages!$C$4:$J$4, 0))),"Data Missing")</f>
        <v>96.432383515462632</v>
      </c>
      <c r="H45" s="17">
        <f ca="1">IFERROR(IF(VALUE(RIGHT($B$28,2))&gt;$A45,0,AVERAGEIFS(Elec_Off_Peak, 'Avoided AC'!$D:$D, $B45, 'Avoided AC'!$E:$E, "Shoulder") +
        INDEX(AEPS!$S$8:$S$37, MATCH($A45, 'General Inputs'!$F$3:$F$32, 0)) +
        OFFSET(DRIPE!$I$10, MATCH('LI Output'!$B45, DRIPE!$I$11:$I$30, 0), MATCH('LI Output'!$B$28, DRIPE!$J$10:$N$10, 0), 1, 1) +
        INDEX(Arrearages!C$5:J$24, MATCH($A45, Arrearages!$B$5:$B$24, 0), MATCH('General Inputs'!$C$2, Arrearages!$C$4:$J$4, 0))),"Data Missing")</f>
        <v>80.193188096582332</v>
      </c>
      <c r="I45" s="17">
        <f ca="1">(IF(VALUE(RIGHT($B$28,2))&gt;$A45,0,INDEX('Generation Capacity'!$E$27:$K$48,MATCH($A45,'Generation Capacity'!$B$27:$B$48,FALSE),MATCH(EDC_NAME,'Generation Capacity'!$E$26:$K$26,FALSE))+
        OFFSET(DRIPE!$B$35,MATCH('LI Output'!$B45,DRIPE!$B$11:$B$30,0),MATCH('LI Output'!$B$28,DRIPE!$C$10:$G$10,0),1,1)))</f>
        <v>33.244088006088298</v>
      </c>
      <c r="J45" s="17">
        <f ca="1">(IF(VALUE(RIGHT($B$28,2))&gt;$A45,0,INDEX('Generation Capacity'!$E$27:$K$48,MATCH($A45,'Generation Capacity'!$B$27:$B$48,FALSE),MATCH(EDC_NAME,'Generation Capacity'!$E$26:$K$26,FALSE))+
        OFFSET(DRIPE!$I$35,MATCH('LI Output'!$B45,DRIPE!$B$11:$B$30,0),MATCH('LI Output'!$B$28,DRIPE!$C$10:$G$10,0),1,1)))</f>
        <v>33.244088006088298</v>
      </c>
      <c r="K45" s="17">
        <f ca="1">IFERROR(IF(VALUE(RIGHT($B$28,2))&gt;$A45,0,INDEX('T&amp;D Capacity'!$E$4:$K$23,MATCH($A45,'T&amp;D Capacity'!$B$4:$B$23,FALSE),MATCH(EDC_NAME,'T&amp;D Capacity'!$E$3:$K$3,FALSE))),0)</f>
        <v>11.525673246394749</v>
      </c>
      <c r="L45" s="17">
        <f ca="1">IFERROR(IF(VALUE(RIGHT($B$28,2))&gt;$A45,0,INDEX('T&amp;D Capacity'!$E$28:$K$47,MATCH($A45,'T&amp;D Capacity'!$B$28:$B$47,FALSE),MATCH(EDC_NAME,'T&amp;D Capacity'!$E$27:$K$27,FALSE))),0)</f>
        <v>11.525673246394749</v>
      </c>
      <c r="M45" s="17">
        <f ca="1">IFERROR(IF(VALUE(RIGHT($B$28,2))&gt;$A45,0,INDEX('T&amp;D Capacity'!$M$4:$S$23,MATCH($A45,'T&amp;D Capacity'!$B$4:$B$23,FALSE),MATCH(EDC_NAME,'T&amp;D Capacity'!$M$3:$S$3,FALSE))),0)</f>
        <v>74.798819014739365</v>
      </c>
      <c r="N45" s="17">
        <f ca="1">IFERROR(IF(VALUE(RIGHT($B$28,2))&gt;$A45,0,INDEX('T&amp;D Capacity'!$M$28:$S$47,MATCH($A45,'T&amp;D Capacity'!$B$28:$B$47,FALSE),MATCH(EDC_NAME,'T&amp;D Capacity'!$M$27:$S$27,FALSE))),0)</f>
        <v>10.846346948236732</v>
      </c>
      <c r="O45" s="18">
        <f>IFERROR(IF(VALUE(RIGHT($B$28,2))&gt;$A45,0,IFERROR(AVERAGEIF('NG Futures'!$E:$E,$B45,'NG Futures'!$I:$I),"Data Missing")),0)</f>
        <v>4.5925300938202467</v>
      </c>
      <c r="P45" s="324"/>
    </row>
    <row r="46" spans="1:43" s="50" customFormat="1" ht="15" customHeight="1" x14ac:dyDescent="0.2">
      <c r="A46" s="124">
        <f t="shared" si="2"/>
        <v>32</v>
      </c>
      <c r="B46" s="124">
        <f t="shared" si="2"/>
        <v>2041</v>
      </c>
      <c r="C46" s="122">
        <f ca="1">IFERROR(IF(VALUE(RIGHT($B$28,2))&gt;$A46,0,AVERAGEIFS(Elec_On_Peak, 'Avoided AC'!$D:$D, $B46, 'Avoided AC'!$E:$E, "Summer") +
        INDEX(AEPS!$S$8:$S$37, MATCH($A46, 'General Inputs'!$F$3:$F$32, 0)) +
        OFFSET(DRIPE!$I$10, MATCH('LI Output'!$B46, DRIPE!$I$11:$I$30, 0), MATCH('LI Output'!$B$28, DRIPE!$J$10:$N$10, 0), 1, 1) +
        INDEX(Arrearages!C$5:J$24, MATCH($A46, Arrearages!$B$5:$B$24, 0), MATCH('General Inputs'!$C$2, Arrearages!$C$4:$J$4, 0))),"Data Missing")</f>
        <v>110.68050739041985</v>
      </c>
      <c r="D46" s="17">
        <f ca="1">IFERROR(IF(VALUE(RIGHT($B$28,2))&gt;$A46,0,AVERAGEIFS(Elec_Off_Peak, 'Avoided AC'!$D:$D, $B46, 'Avoided AC'!$E:$E, "Summer") +
        INDEX(AEPS!$S$8:$S$37, MATCH($A46, 'General Inputs'!$F$3:$F$32, 0)) +
        OFFSET(DRIPE!$I$10, MATCH('LI Output'!$B46, DRIPE!$I$11:$I$30, 0), MATCH('LI Output'!$B$28, DRIPE!$J$10:$N$10, 0), 1, 1) +
        INDEX(Arrearages!C$5:J$24, MATCH($A46, Arrearages!$B$5:$B$24, 0), MATCH('General Inputs'!$C$2, Arrearages!$C$4:$J$4, 0))),"Data Missing")</f>
        <v>77.212732217499507</v>
      </c>
      <c r="E46" s="17">
        <f ca="1">IFERROR(IF(VALUE(RIGHT($B$28,2))&gt;$A46,0,AVERAGEIFS(Elec_On_Peak, 'Avoided AC'!$D:$D, $B46, 'Avoided AC'!$E:$E, "Winter") +
        INDEX(AEPS!$S$8:$S$37, MATCH($A46, 'General Inputs'!$F$3:$F$32, 0)) +
        OFFSET(DRIPE!$I$10, MATCH('LI Output'!$B46, DRIPE!$I$11:$I$30, 0), MATCH('LI Output'!$B$28, DRIPE!$J$10:$N$10, 0), 1, 1) +
        INDEX(Arrearages!C$5:J$24, MATCH($A46, Arrearages!$B$5:$B$24, 0), MATCH('General Inputs'!$C$2, Arrearages!$C$4:$J$4, 0))),"Data Missing")</f>
        <v>130.89766299354926</v>
      </c>
      <c r="F46" s="17">
        <f ca="1">IFERROR(IF(VALUE(RIGHT($B$28,2))&gt;$A46,0,AVERAGEIFS(Elec_Off_Peak, 'Avoided AC'!$D:$D, $B46, 'Avoided AC'!$E:$E, "Winter") +
        INDEX(AEPS!$S$8:$S$37, MATCH($A46, 'General Inputs'!$F$3:$F$32, 0)) +
        OFFSET(DRIPE!$I$10, MATCH('LI Output'!$B46, DRIPE!$I$11:$I$30, 0), MATCH('LI Output'!$B$28, DRIPE!$J$10:$N$10, 0), 1, 1) +
        INDEX(Arrearages!C$5:J$24, MATCH($A46, Arrearages!$B$5:$B$24, 0), MATCH('General Inputs'!$C$2, Arrearages!$C$4:$J$4, 0))),"Data Missing")</f>
        <v>111.2520632779496</v>
      </c>
      <c r="G46" s="17">
        <f ca="1">IFERROR(IF(VALUE(RIGHT($B$28,2))&gt;$A46,0,AVERAGEIFS(Elec_On_Peak, 'Avoided AC'!$D:$D, $B46, 'Avoided AC'!$E:$E, "Shoulder") +
        INDEX(AEPS!$S$8:$S$37, MATCH($A46, 'General Inputs'!$F$3:$F$32, 0)) +
        OFFSET(DRIPE!$I$10, MATCH('LI Output'!$B46, DRIPE!$I$11:$I$30, 0), MATCH('LI Output'!$B$28, DRIPE!$J$10:$N$10, 0), 1, 1) +
        INDEX(Arrearages!C$5:J$24, MATCH($A46, Arrearages!$B$5:$B$24, 0), MATCH('General Inputs'!$C$2, Arrearages!$C$4:$J$4, 0))),"Data Missing")</f>
        <v>98.392042926069223</v>
      </c>
      <c r="H46" s="17">
        <f ca="1">IFERROR(IF(VALUE(RIGHT($B$28,2))&gt;$A46,0,AVERAGEIFS(Elec_Off_Peak, 'Avoided AC'!$D:$D, $B46, 'Avoided AC'!$E:$E, "Shoulder") +
        INDEX(AEPS!$S$8:$S$37, MATCH($A46, 'General Inputs'!$F$3:$F$32, 0)) +
        OFFSET(DRIPE!$I$10, MATCH('LI Output'!$B46, DRIPE!$I$11:$I$30, 0), MATCH('LI Output'!$B$28, DRIPE!$J$10:$N$10, 0), 1, 1) +
        INDEX(Arrearages!C$5:J$24, MATCH($A46, Arrearages!$B$5:$B$24, 0), MATCH('General Inputs'!$C$2, Arrearages!$C$4:$J$4, 0))),"Data Missing")</f>
        <v>81.7439895999985</v>
      </c>
      <c r="I46" s="17">
        <f ca="1">(IF(VALUE(RIGHT($B$28,2))&gt;$A46,0,INDEX('Generation Capacity'!$E$27:$K$48,MATCH($A46,'Generation Capacity'!$B$27:$B$48,FALSE),MATCH(EDC_NAME,'Generation Capacity'!$E$26:$K$26,FALSE))+
        OFFSET(DRIPE!$B$35,MATCH('LI Output'!$B46,DRIPE!$B$11:$B$30,0),MATCH('LI Output'!$B$28,DRIPE!$C$10:$G$10,0),1,1)))</f>
        <v>33.932753706778989</v>
      </c>
      <c r="J46" s="17">
        <f ca="1">(IF(VALUE(RIGHT($B$28,2))&gt;$A46,0,INDEX('Generation Capacity'!$E$27:$K$48,MATCH($A46,'Generation Capacity'!$B$27:$B$48,FALSE),MATCH(EDC_NAME,'Generation Capacity'!$E$26:$K$26,FALSE))+
        OFFSET(DRIPE!$I$35,MATCH('LI Output'!$B46,DRIPE!$B$11:$B$30,0),MATCH('LI Output'!$B$28,DRIPE!$C$10:$G$10,0),1,1)))</f>
        <v>33.932753706778989</v>
      </c>
      <c r="K46" s="17">
        <f ca="1">IFERROR(IF(VALUE(RIGHT($B$28,2))&gt;$A46,0,INDEX('T&amp;D Capacity'!$E$4:$K$23,MATCH($A46,'T&amp;D Capacity'!$B$4:$B$23,FALSE),MATCH(EDC_NAME,'T&amp;D Capacity'!$E$3:$K$3,FALSE))),0)</f>
        <v>11.76443256626861</v>
      </c>
      <c r="L46" s="17">
        <f ca="1">IFERROR(IF(VALUE(RIGHT($B$28,2))&gt;$A46,0,INDEX('T&amp;D Capacity'!$E$28:$K$47,MATCH($A46,'T&amp;D Capacity'!$B$28:$B$47,FALSE),MATCH(EDC_NAME,'T&amp;D Capacity'!$E$27:$K$27,FALSE))),0)</f>
        <v>11.76443256626861</v>
      </c>
      <c r="M46" s="17">
        <f ca="1">IFERROR(IF(VALUE(RIGHT($B$28,2))&gt;$A46,0,INDEX('T&amp;D Capacity'!$M$4:$S$23,MATCH($A46,'T&amp;D Capacity'!$B$4:$B$23,FALSE),MATCH(EDC_NAME,'T&amp;D Capacity'!$M$3:$S$3,FALSE))),0)</f>
        <v>76.34830899016562</v>
      </c>
      <c r="N46" s="17">
        <f ca="1">IFERROR(IF(VALUE(RIGHT($B$28,2))&gt;$A46,0,INDEX('T&amp;D Capacity'!$M$28:$S$47,MATCH($A46,'T&amp;D Capacity'!$B$28:$B$47,FALSE),MATCH(EDC_NAME,'T&amp;D Capacity'!$M$27:$S$27,FALSE))),0)</f>
        <v>11.071033729226899</v>
      </c>
      <c r="O46" s="18">
        <f>IFERROR(IF(VALUE(RIGHT($B$28,2))&gt;$A46,0,IFERROR(AVERAGEIF('NG Futures'!$E:$E,$B46,'NG Futures'!$I:$I),"Data Missing")),0)</f>
        <v>4.7381632505640319</v>
      </c>
      <c r="P46" s="324"/>
    </row>
    <row r="47" spans="1:43" s="50" customFormat="1" ht="15" customHeight="1" x14ac:dyDescent="0.2">
      <c r="A47" s="124">
        <f t="shared" si="2"/>
        <v>33</v>
      </c>
      <c r="B47" s="124">
        <f t="shared" si="2"/>
        <v>2042</v>
      </c>
      <c r="C47" s="122">
        <f ca="1">IFERROR(IF(VALUE(RIGHT($B$28,2))&gt;$A47,0,AVERAGEIFS(Elec_On_Peak, 'Avoided AC'!$D:$D, $B47, 'Avoided AC'!$E:$E, "Summer") +
        INDEX(AEPS!$S$8:$S$37, MATCH($A47, 'General Inputs'!$F$3:$F$32, 0)) +
        OFFSET(DRIPE!$I$10, MATCH('LI Output'!$B47, DRIPE!$I$11:$I$30, 0), MATCH('LI Output'!$B$28, DRIPE!$J$10:$N$10, 0), 1, 1) +
        INDEX(Arrearages!C$5:J$24, MATCH($A47, Arrearages!$B$5:$B$24, 0), MATCH('General Inputs'!$C$2, Arrearages!$C$4:$J$4, 0))),"Data Missing")</f>
        <v>112.61371129665545</v>
      </c>
      <c r="D47" s="17">
        <f ca="1">IFERROR(IF(VALUE(RIGHT($B$28,2))&gt;$A47,0,AVERAGEIFS(Elec_Off_Peak, 'Avoided AC'!$D:$D, $B47, 'Avoided AC'!$E:$E, "Summer") +
        INDEX(AEPS!$S$8:$S$37, MATCH($A47, 'General Inputs'!$F$3:$F$32, 0)) +
        OFFSET(DRIPE!$I$10, MATCH('LI Output'!$B47, DRIPE!$I$11:$I$30, 0), MATCH('LI Output'!$B$28, DRIPE!$J$10:$N$10, 0), 1, 1) +
        INDEX(Arrearages!C$5:J$24, MATCH($A47, Arrearages!$B$5:$B$24, 0), MATCH('General Inputs'!$C$2, Arrearages!$C$4:$J$4, 0))),"Data Missing")</f>
        <v>78.749339645012867</v>
      </c>
      <c r="E47" s="17">
        <f ca="1">IFERROR(IF(VALUE(RIGHT($B$28,2))&gt;$A47,0,AVERAGEIFS(Elec_On_Peak, 'Avoided AC'!$D:$D, $B47, 'Avoided AC'!$E:$E, "Winter") +
        INDEX(AEPS!$S$8:$S$37, MATCH($A47, 'General Inputs'!$F$3:$F$32, 0)) +
        OFFSET(DRIPE!$I$10, MATCH('LI Output'!$B47, DRIPE!$I$11:$I$30, 0), MATCH('LI Output'!$B$28, DRIPE!$J$10:$N$10, 0), 1, 1) +
        INDEX(Arrearages!C$5:J$24, MATCH($A47, Arrearages!$B$5:$B$24, 0), MATCH('General Inputs'!$C$2, Arrearages!$C$4:$J$4, 0))),"Data Missing")</f>
        <v>134.65660790837964</v>
      </c>
      <c r="F47" s="17">
        <f ca="1">IFERROR(IF(VALUE(RIGHT($B$28,2))&gt;$A47,0,AVERAGEIFS(Elec_Off_Peak, 'Avoided AC'!$D:$D, $B47, 'Avoided AC'!$E:$E, "Winter") +
        INDEX(AEPS!$S$8:$S$37, MATCH($A47, 'General Inputs'!$F$3:$F$32, 0)) +
        OFFSET(DRIPE!$I$10, MATCH('LI Output'!$B47, DRIPE!$I$11:$I$30, 0), MATCH('LI Output'!$B$28, DRIPE!$J$10:$N$10, 0), 1, 1) +
        INDEX(Arrearages!C$5:J$24, MATCH($A47, Arrearages!$B$5:$B$24, 0), MATCH('General Inputs'!$C$2, Arrearages!$C$4:$J$4, 0))),"Data Missing")</f>
        <v>114.04599878354874</v>
      </c>
      <c r="G47" s="17">
        <f ca="1">IFERROR(IF(VALUE(RIGHT($B$28,2))&gt;$A47,0,AVERAGEIFS(Elec_On_Peak, 'Avoided AC'!$D:$D, $B47, 'Avoided AC'!$E:$E, "Shoulder") +
        INDEX(AEPS!$S$8:$S$37, MATCH($A47, 'General Inputs'!$F$3:$F$32, 0)) +
        OFFSET(DRIPE!$I$10, MATCH('LI Output'!$B47, DRIPE!$I$11:$I$30, 0), MATCH('LI Output'!$B$28, DRIPE!$J$10:$N$10, 0), 1, 1) +
        INDEX(Arrearages!C$5:J$24, MATCH($A47, Arrearages!$B$5:$B$24, 0), MATCH('General Inputs'!$C$2, Arrearages!$C$4:$J$4, 0))),"Data Missing")</f>
        <v>100.51869902739462</v>
      </c>
      <c r="H47" s="17">
        <f ca="1">IFERROR(IF(VALUE(RIGHT($B$28,2))&gt;$A47,0,AVERAGEIFS(Elec_Off_Peak, 'Avoided AC'!$D:$D, $B47, 'Avoided AC'!$E:$E, "Shoulder") +
        INDEX(AEPS!$S$8:$S$37, MATCH($A47, 'General Inputs'!$F$3:$F$32, 0)) +
        OFFSET(DRIPE!$I$10, MATCH('LI Output'!$B47, DRIPE!$I$11:$I$30, 0), MATCH('LI Output'!$B$28, DRIPE!$J$10:$N$10, 0), 1, 1) +
        INDEX(Arrearages!C$5:J$24, MATCH($A47, Arrearages!$B$5:$B$24, 0), MATCH('General Inputs'!$C$2, Arrearages!$C$4:$J$4, 0))),"Data Missing")</f>
        <v>83.413821222788556</v>
      </c>
      <c r="I47" s="17">
        <f ca="1">(IF(VALUE(RIGHT($B$28,2))&gt;$A47,0,INDEX('Generation Capacity'!$E$27:$K$48,MATCH($A47,'Generation Capacity'!$B$27:$B$48,FALSE),MATCH(EDC_NAME,'Generation Capacity'!$E$26:$K$26,FALSE))+
        OFFSET(DRIPE!$B$35,MATCH('LI Output'!$B47,DRIPE!$B$11:$B$30,0),MATCH('LI Output'!$B$28,DRIPE!$C$10:$G$10,0),1,1)))</f>
        <v>34.635685416127252</v>
      </c>
      <c r="J47" s="17">
        <f ca="1">(IF(VALUE(RIGHT($B$28,2))&gt;$A47,0,INDEX('Generation Capacity'!$E$27:$K$48,MATCH($A47,'Generation Capacity'!$B$27:$B$48,FALSE),MATCH(EDC_NAME,'Generation Capacity'!$E$26:$K$26,FALSE))+
        OFFSET(DRIPE!$I$35,MATCH('LI Output'!$B47,DRIPE!$B$11:$B$30,0),MATCH('LI Output'!$B$28,DRIPE!$C$10:$G$10,0),1,1)))</f>
        <v>34.635685416127252</v>
      </c>
      <c r="K47" s="17">
        <f ca="1">IFERROR(IF(VALUE(RIGHT($B$28,2))&gt;$A47,0,INDEX('T&amp;D Capacity'!$E$4:$K$23,MATCH($A47,'T&amp;D Capacity'!$B$4:$B$23,FALSE),MATCH(EDC_NAME,'T&amp;D Capacity'!$E$3:$K$3,FALSE))),0)</f>
        <v>12.008137889001302</v>
      </c>
      <c r="L47" s="17">
        <f ca="1">IFERROR(IF(VALUE(RIGHT($B$28,2))&gt;$A47,0,INDEX('T&amp;D Capacity'!$E$28:$K$47,MATCH($A47,'T&amp;D Capacity'!$B$28:$B$47,FALSE),MATCH(EDC_NAME,'T&amp;D Capacity'!$E$27:$K$27,FALSE))),0)</f>
        <v>12.008137889001302</v>
      </c>
      <c r="M47" s="17">
        <f ca="1">IFERROR(IF(VALUE(RIGHT($B$28,2))&gt;$A47,0,INDEX('T&amp;D Capacity'!$M$4:$S$23,MATCH($A47,'T&amp;D Capacity'!$B$4:$B$23,FALSE),MATCH(EDC_NAME,'T&amp;D Capacity'!$M$3:$S$3,FALSE))),0)</f>
        <v>77.929897322431884</v>
      </c>
      <c r="N47" s="17">
        <f ca="1">IFERROR(IF(VALUE(RIGHT($B$28,2))&gt;$A47,0,INDEX('T&amp;D Capacity'!$M$28:$S$47,MATCH($A47,'T&amp;D Capacity'!$B$28:$B$47,FALSE),MATCH(EDC_NAME,'T&amp;D Capacity'!$M$27:$S$27,FALSE))),0)</f>
        <v>11.300374994329797</v>
      </c>
      <c r="O47" s="18">
        <f>IFERROR(IF(VALUE(RIGHT($B$28,2))&gt;$A47,0,IFERROR(AVERAGEIF('NG Futures'!$E:$E,$B47,'NG Futures'!$I:$I),"Data Missing")),0)</f>
        <v>4.9008818618881964</v>
      </c>
      <c r="P47" s="324"/>
    </row>
    <row r="48" spans="1:43" s="50" customFormat="1" ht="15" customHeight="1" x14ac:dyDescent="0.2">
      <c r="A48" s="124">
        <f t="shared" si="2"/>
        <v>34</v>
      </c>
      <c r="B48" s="124">
        <f t="shared" si="2"/>
        <v>2043</v>
      </c>
      <c r="C48" s="122">
        <f ca="1">IFERROR(IF(VALUE(RIGHT($B$28,2))&gt;$A48,0,AVERAGEIFS(Elec_On_Peak, 'Avoided AC'!$D:$D, $B48, 'Avoided AC'!$E:$E, "Summer") +
        INDEX(AEPS!$S$8:$S$37, MATCH($A48, 'General Inputs'!$F$3:$F$32, 0)) +
        OFFSET(DRIPE!$I$10, MATCH('LI Output'!$B48, DRIPE!$I$11:$I$30, 0), MATCH('LI Output'!$B$28, DRIPE!$J$10:$N$10, 0), 1, 1) +
        INDEX(Arrearages!C$5:J$24, MATCH($A48, Arrearages!$B$5:$B$24, 0), MATCH('General Inputs'!$C$2, Arrearages!$C$4:$J$4, 0))),"Data Missing")</f>
        <v>114.59786857394181</v>
      </c>
      <c r="D48" s="17">
        <f ca="1">IFERROR(IF(VALUE(RIGHT($B$28,2))&gt;$A48,0,AVERAGEIFS(Elec_Off_Peak, 'Avoided AC'!$D:$D, $B48, 'Avoided AC'!$E:$E, "Summer") +
        INDEX(AEPS!$S$8:$S$37, MATCH($A48, 'General Inputs'!$F$3:$F$32, 0)) +
        OFFSET(DRIPE!$I$10, MATCH('LI Output'!$B48, DRIPE!$I$11:$I$30, 0), MATCH('LI Output'!$B$28, DRIPE!$J$10:$N$10, 0), 1, 1) +
        INDEX(Arrearages!C$5:J$24, MATCH($A48, Arrearages!$B$5:$B$24, 0), MATCH('General Inputs'!$C$2, Arrearages!$C$4:$J$4, 0))),"Data Missing")</f>
        <v>80.325142454899378</v>
      </c>
      <c r="E48" s="17">
        <f ca="1">IFERROR(IF(VALUE(RIGHT($B$28,2))&gt;$A48,0,AVERAGEIFS(Elec_On_Peak, 'Avoided AC'!$D:$D, $B48, 'Avoided AC'!$E:$E, "Winter") +
        INDEX(AEPS!$S$8:$S$37, MATCH($A48, 'General Inputs'!$F$3:$F$32, 0)) +
        OFFSET(DRIPE!$I$10, MATCH('LI Output'!$B48, DRIPE!$I$11:$I$30, 0), MATCH('LI Output'!$B$28, DRIPE!$J$10:$N$10, 0), 1, 1) +
        INDEX(Arrearages!C$5:J$24, MATCH($A48, Arrearages!$B$5:$B$24, 0), MATCH('General Inputs'!$C$2, Arrearages!$C$4:$J$4, 0))),"Data Missing")</f>
        <v>138.52063436548531</v>
      </c>
      <c r="F48" s="17">
        <f ca="1">IFERROR(IF(VALUE(RIGHT($B$28,2))&gt;$A48,0,AVERAGEIFS(Elec_Off_Peak, 'Avoided AC'!$D:$D, $B48, 'Avoided AC'!$E:$E, "Winter") +
        INDEX(AEPS!$S$8:$S$37, MATCH($A48, 'General Inputs'!$F$3:$F$32, 0)) +
        OFFSET(DRIPE!$I$10, MATCH('LI Output'!$B48, DRIPE!$I$11:$I$30, 0), MATCH('LI Output'!$B$28, DRIPE!$J$10:$N$10, 0), 1, 1) +
        INDEX(Arrearages!C$5:J$24, MATCH($A48, Arrearages!$B$5:$B$24, 0), MATCH('General Inputs'!$C$2, Arrearages!$C$4:$J$4, 0))),"Data Missing")</f>
        <v>116.91640597148668</v>
      </c>
      <c r="G48" s="17">
        <f ca="1">IFERROR(IF(VALUE(RIGHT($B$28,2))&gt;$A48,0,AVERAGEIFS(Elec_On_Peak, 'Avoided AC'!$D:$D, $B48, 'Avoided AC'!$E:$E, "Shoulder") +
        INDEX(AEPS!$S$8:$S$37, MATCH($A48, 'General Inputs'!$F$3:$F$32, 0)) +
        OFFSET(DRIPE!$I$10, MATCH('LI Output'!$B48, DRIPE!$I$11:$I$30, 0), MATCH('LI Output'!$B$28, DRIPE!$J$10:$N$10, 0), 1, 1) +
        INDEX(Arrearages!C$5:J$24, MATCH($A48, Arrearages!$B$5:$B$24, 0), MATCH('General Inputs'!$C$2, Arrearages!$C$4:$J$4, 0))),"Data Missing")</f>
        <v>102.70204382230017</v>
      </c>
      <c r="H48" s="17">
        <f ca="1">IFERROR(IF(VALUE(RIGHT($B$28,2))&gt;$A48,0,AVERAGEIFS(Elec_Off_Peak, 'Avoided AC'!$D:$D, $B48, 'Avoided AC'!$E:$E, "Shoulder") +
        INDEX(AEPS!$S$8:$S$37, MATCH($A48, 'General Inputs'!$F$3:$F$32, 0)) +
        OFFSET(DRIPE!$I$10, MATCH('LI Output'!$B48, DRIPE!$I$11:$I$30, 0), MATCH('LI Output'!$B$28, DRIPE!$J$10:$N$10, 0), 1, 1) +
        INDEX(Arrearages!C$5:J$24, MATCH($A48, Arrearages!$B$5:$B$24, 0), MATCH('General Inputs'!$C$2, Arrearages!$C$4:$J$4, 0))),"Data Missing")</f>
        <v>85.126797956866881</v>
      </c>
      <c r="I48" s="17">
        <f ca="1">(IF(VALUE(RIGHT($B$28,2))&gt;$A48,0,INDEX('Generation Capacity'!$E$27:$K$48,MATCH($A48,'Generation Capacity'!$B$27:$B$48,FALSE),MATCH(EDC_NAME,'Generation Capacity'!$E$26:$K$26,FALSE))+
        OFFSET(DRIPE!$B$35,MATCH('LI Output'!$B48,DRIPE!$B$11:$B$30,0),MATCH('LI Output'!$B$28,DRIPE!$C$10:$G$10,0),1,1)))</f>
        <v>35.353178660689451</v>
      </c>
      <c r="J48" s="17">
        <f ca="1">(IF(VALUE(RIGHT($B$28,2))&gt;$A48,0,INDEX('Generation Capacity'!$E$27:$K$48,MATCH($A48,'Generation Capacity'!$B$27:$B$48,FALSE),MATCH(EDC_NAME,'Generation Capacity'!$E$26:$K$26,FALSE))+
        OFFSET(DRIPE!$I$35,MATCH('LI Output'!$B48,DRIPE!$B$11:$B$30,0),MATCH('LI Output'!$B$28,DRIPE!$C$10:$G$10,0),1,1)))</f>
        <v>35.353178660689451</v>
      </c>
      <c r="K48" s="17">
        <f ca="1">IFERROR(IF(VALUE(RIGHT($B$28,2))&gt;$A48,0,INDEX('T&amp;D Capacity'!$E$4:$K$23,MATCH($A48,'T&amp;D Capacity'!$B$4:$B$23,FALSE),MATCH(EDC_NAME,'T&amp;D Capacity'!$E$3:$K$3,FALSE))),0)</f>
        <v>12.256891673187081</v>
      </c>
      <c r="L48" s="17">
        <f ca="1">IFERROR(IF(VALUE(RIGHT($B$28,2))&gt;$A48,0,INDEX('T&amp;D Capacity'!$E$28:$K$47,MATCH($A48,'T&amp;D Capacity'!$B$28:$B$47,FALSE),MATCH(EDC_NAME,'T&amp;D Capacity'!$E$27:$K$27,FALSE))),0)</f>
        <v>12.256891673187081</v>
      </c>
      <c r="M48" s="17">
        <f ca="1">IFERROR(IF(VALUE(RIGHT($B$28,2))&gt;$A48,0,INDEX('T&amp;D Capacity'!$M$4:$S$23,MATCH($A48,'T&amp;D Capacity'!$B$4:$B$23,FALSE),MATCH(EDC_NAME,'T&amp;D Capacity'!$M$3:$S$3,FALSE))),0)</f>
        <v>79.544248942920845</v>
      </c>
      <c r="N48" s="17">
        <f ca="1">IFERROR(IF(VALUE(RIGHT($B$28,2))&gt;$A48,0,INDEX('T&amp;D Capacity'!$M$28:$S$47,MATCH($A48,'T&amp;D Capacity'!$B$28:$B$47,FALSE),MATCH(EDC_NAME,'T&amp;D Capacity'!$M$27:$S$27,FALSE))),0)</f>
        <v>11.534467163202425</v>
      </c>
      <c r="O48" s="18">
        <f>IFERROR(IF(VALUE(RIGHT($B$28,2))&gt;$A48,0,IFERROR(AVERAGEIF('NG Futures'!$E:$E,$B48,'NG Futures'!$I:$I),"Data Missing")),0)</f>
        <v>5.0684246299869011</v>
      </c>
      <c r="P48" s="324"/>
    </row>
    <row r="49" spans="1:16" s="50" customFormat="1" ht="15.75" customHeight="1" x14ac:dyDescent="0.2">
      <c r="A49" s="124">
        <f t="shared" si="2"/>
        <v>35</v>
      </c>
      <c r="B49" s="124">
        <f t="shared" si="2"/>
        <v>2044</v>
      </c>
      <c r="C49" s="122">
        <f ca="1">IFERROR(IF(VALUE(RIGHT($B$28,2))&gt;$A49,0,AVERAGEIFS(Elec_On_Peak, 'Avoided AC'!$D:$D, $B49, 'Avoided AC'!$E:$E, "Summer") +
        INDEX(AEPS!$S$8:$S$37, MATCH($A49, 'General Inputs'!$F$3:$F$32, 0)) +
        OFFSET(DRIPE!$I$10, MATCH('LI Output'!$B49, DRIPE!$I$11:$I$30, 0), MATCH('LI Output'!$B$28, DRIPE!$J$10:$N$10, 0), 1, 1) +
        INDEX(Arrearages!C$5:J$24, MATCH($A49, Arrearages!$B$5:$B$24, 0), MATCH('General Inputs'!$C$2, Arrearages!$C$4:$J$4, 0))),"Data Missing")</f>
        <v>116.1160415787043</v>
      </c>
      <c r="D49" s="17">
        <f ca="1">IFERROR(IF(VALUE(RIGHT($B$28,2))&gt;$A49,0,AVERAGEIFS(Elec_Off_Peak, 'Avoided AC'!$D:$D, $B49, 'Avoided AC'!$E:$E, "Summer") +
        INDEX(AEPS!$S$8:$S$37, MATCH($A49, 'General Inputs'!$F$3:$F$32, 0)) +
        OFFSET(DRIPE!$I$10, MATCH('LI Output'!$B49, DRIPE!$I$11:$I$30, 0), MATCH('LI Output'!$B$28, DRIPE!$J$10:$N$10, 0), 1, 1) +
        INDEX(Arrearages!C$5:J$24, MATCH($A49, Arrearages!$B$5:$B$24, 0), MATCH('General Inputs'!$C$2, Arrearages!$C$4:$J$4, 0))),"Data Missing")</f>
        <v>81.584224720108111</v>
      </c>
      <c r="E49" s="17">
        <f ca="1">IFERROR(IF(VALUE(RIGHT($B$28,2))&gt;$A49,0,AVERAGEIFS(Elec_On_Peak, 'Avoided AC'!$D:$D, $B49, 'Avoided AC'!$E:$E, "Winter") +
        INDEX(AEPS!$S$8:$S$37, MATCH($A49, 'General Inputs'!$F$3:$F$32, 0)) +
        OFFSET(DRIPE!$I$10, MATCH('LI Output'!$B49, DRIPE!$I$11:$I$30, 0), MATCH('LI Output'!$B$28, DRIPE!$J$10:$N$10, 0), 1, 1) +
        INDEX(Arrearages!C$5:J$24, MATCH($A49, Arrearages!$B$5:$B$24, 0), MATCH('General Inputs'!$C$2, Arrearages!$C$4:$J$4, 0))),"Data Missing")</f>
        <v>141.23153754696145</v>
      </c>
      <c r="F49" s="17">
        <f ca="1">IFERROR(IF(VALUE(RIGHT($B$28,2))&gt;$A49,0,AVERAGEIFS(Elec_Off_Peak, 'Avoided AC'!$D:$D, $B49, 'Avoided AC'!$E:$E, "Winter") +
        INDEX(AEPS!$S$8:$S$37, MATCH($A49, 'General Inputs'!$F$3:$F$32, 0)) +
        OFFSET(DRIPE!$I$10, MATCH('LI Output'!$B49, DRIPE!$I$11:$I$30, 0), MATCH('LI Output'!$B$28, DRIPE!$J$10:$N$10, 0), 1, 1) +
        INDEX(Arrearages!C$5:J$24, MATCH($A49, Arrearages!$B$5:$B$24, 0), MATCH('General Inputs'!$C$2, Arrearages!$C$4:$J$4, 0))),"Data Missing")</f>
        <v>118.99688247262625</v>
      </c>
      <c r="G49" s="17">
        <f ca="1">IFERROR(IF(VALUE(RIGHT($B$28,2))&gt;$A49,0,AVERAGEIFS(Elec_On_Peak, 'Avoided AC'!$D:$D, $B49, 'Avoided AC'!$E:$E, "Shoulder") +
        INDEX(AEPS!$S$8:$S$37, MATCH($A49, 'General Inputs'!$F$3:$F$32, 0)) +
        OFFSET(DRIPE!$I$10, MATCH('LI Output'!$B49, DRIPE!$I$11:$I$30, 0), MATCH('LI Output'!$B$28, DRIPE!$J$10:$N$10, 0), 1, 1) +
        INDEX(Arrearages!C$5:J$24, MATCH($A49, Arrearages!$B$5:$B$24, 0), MATCH('General Inputs'!$C$2, Arrearages!$C$4:$J$4, 0))),"Data Missing")</f>
        <v>104.34659634625449</v>
      </c>
      <c r="H49" s="17">
        <f ca="1">IFERROR(IF(VALUE(RIGHT($B$28,2))&gt;$A49,0,AVERAGEIFS(Elec_Off_Peak, 'Avoided AC'!$D:$D, $B49, 'Avoided AC'!$E:$E, "Shoulder") +
        INDEX(AEPS!$S$8:$S$37, MATCH($A49, 'General Inputs'!$F$3:$F$32, 0)) +
        OFFSET(DRIPE!$I$10, MATCH('LI Output'!$B49, DRIPE!$I$11:$I$30, 0), MATCH('LI Output'!$B$28, DRIPE!$J$10:$N$10, 0), 1, 1) +
        INDEX(Arrearages!C$5:J$24, MATCH($A49, Arrearages!$B$5:$B$24, 0), MATCH('General Inputs'!$C$2, Arrearages!$C$4:$J$4, 0))),"Data Missing")</f>
        <v>86.472913660677719</v>
      </c>
      <c r="I49" s="17">
        <f ca="1">(IF(VALUE(RIGHT($B$28,2))&gt;$A49,0,INDEX('Generation Capacity'!$E$27:$K$48,MATCH($A49,'Generation Capacity'!$B$27:$B$48,FALSE),MATCH(EDC_NAME,'Generation Capacity'!$E$26:$K$26,FALSE))+
        OFFSET(DRIPE!$B$35,MATCH('LI Output'!$B49,DRIPE!$B$11:$B$30,0),MATCH('LI Output'!$B$28,DRIPE!$C$10:$G$10,0),1,1)))</f>
        <v>36.085535088982752</v>
      </c>
      <c r="J49" s="17">
        <f ca="1">(IF(VALUE(RIGHT($B$28,2))&gt;$A49,0,INDEX('Generation Capacity'!$E$27:$K$48,MATCH($A49,'Generation Capacity'!$B$27:$B$48,FALSE),MATCH(EDC_NAME,'Generation Capacity'!$E$26:$K$26,FALSE))+
        OFFSET(DRIPE!$I$35,MATCH('LI Output'!$B49,DRIPE!$B$11:$B$30,0),MATCH('LI Output'!$B$28,DRIPE!$C$10:$G$10,0),1,1)))</f>
        <v>36.085535088982752</v>
      </c>
      <c r="K49" s="17">
        <f ca="1">IFERROR(IF(VALUE(RIGHT($B$28,2))&gt;$A49,0,INDEX('T&amp;D Capacity'!$E$4:$K$23,MATCH($A49,'T&amp;D Capacity'!$B$4:$B$23,FALSE),MATCH(EDC_NAME,'T&amp;D Capacity'!$E$3:$K$3,FALSE))),0)</f>
        <v>12.510798499894417</v>
      </c>
      <c r="L49" s="17">
        <f ca="1">IFERROR(IF(VALUE(RIGHT($B$28,2))&gt;$A49,0,INDEX('T&amp;D Capacity'!$E$28:$K$47,MATCH($A49,'T&amp;D Capacity'!$B$28:$B$47,FALSE),MATCH(EDC_NAME,'T&amp;D Capacity'!$E$27:$K$27,FALSE))),0)</f>
        <v>12.510798499894417</v>
      </c>
      <c r="M49" s="17">
        <f ca="1">IFERROR(IF(VALUE(RIGHT($B$28,2))&gt;$A49,0,INDEX('T&amp;D Capacity'!$M$4:$S$23,MATCH($A49,'T&amp;D Capacity'!$B$4:$B$23,FALSE),MATCH(EDC_NAME,'T&amp;D Capacity'!$M$3:$S$3,FALSE))),0)</f>
        <v>81.192042557357169</v>
      </c>
      <c r="N49" s="17">
        <f ca="1">IFERROR(IF(VALUE(RIGHT($B$28,2))&gt;$A49,0,INDEX('T&amp;D Capacity'!$M$28:$S$47,MATCH($A49,'T&amp;D Capacity'!$B$28:$B$47,FALSE),MATCH(EDC_NAME,'T&amp;D Capacity'!$M$27:$S$27,FALSE))),0)</f>
        <v>11.773408652876794</v>
      </c>
      <c r="O49" s="18">
        <f>IFERROR(IF(VALUE(RIGHT($B$28,2))&gt;$A49,0,IFERROR(AVERAGEIF('NG Futures'!$E:$E,$B49,'NG Futures'!$I:$I),"Data Missing")),0)</f>
        <v>5.1747263437160846</v>
      </c>
      <c r="P49" s="324"/>
    </row>
    <row r="50" spans="1:16" s="50" customFormat="1" ht="15" customHeight="1" x14ac:dyDescent="0.2">
      <c r="A50" s="124">
        <f t="shared" ref="A50:B51" si="3">A49+1</f>
        <v>36</v>
      </c>
      <c r="B50" s="124">
        <f t="shared" si="3"/>
        <v>2045</v>
      </c>
      <c r="C50" s="122">
        <f ca="1">IFERROR(IF(VALUE(RIGHT($B$28,2))&gt;$A50,0,AVERAGEIFS(Elec_On_Peak, 'Avoided AC'!$D:$D, $B50, 'Avoided AC'!$E:$E, "Summer") +
        INDEX(AEPS!$S$8:$S$37, MATCH($A50, 'General Inputs'!$F$3:$F$32, 0)) +
        OFFSET(DRIPE!$I$10, MATCH('LI Output'!$B50, DRIPE!$I$11:$I$30, 0), MATCH('LI Output'!$B$28, DRIPE!$J$10:$N$10, 0), 1, 1) +
        INDEX(Arrearages!C$5:J$24, MATCH($A50, Arrearages!$B$5:$B$24, 0), MATCH('General Inputs'!$C$2, Arrearages!$C$4:$J$4, 0))),"Data Missing")</f>
        <v>117.40754999431464</v>
      </c>
      <c r="D50" s="17">
        <f ca="1">IFERROR(IF(VALUE(RIGHT($B$28,2))&gt;$A50,0,AVERAGEIFS(Elec_Off_Peak, 'Avoided AC'!$D:$D, $B50, 'Avoided AC'!$E:$E, "Summer") +
        INDEX(AEPS!$S$8:$S$37, MATCH($A50, 'General Inputs'!$F$3:$F$32, 0)) +
        OFFSET(DRIPE!$I$10, MATCH('LI Output'!$B50, DRIPE!$I$11:$I$30, 0), MATCH('LI Output'!$B$28, DRIPE!$J$10:$N$10, 0), 1, 1) +
        INDEX(Arrearages!C$5:J$24, MATCH($A50, Arrearages!$B$5:$B$24, 0), MATCH('General Inputs'!$C$2, Arrearages!$C$4:$J$4, 0))),"Data Missing")</f>
        <v>82.691481825355112</v>
      </c>
      <c r="E50" s="17">
        <f ca="1">IFERROR(IF(VALUE(RIGHT($B$28,2))&gt;$A50,0,AVERAGEIFS(Elec_On_Peak, 'Avoided AC'!$D:$D, $B50, 'Avoided AC'!$E:$E, "Winter") +
        INDEX(AEPS!$S$8:$S$37, MATCH($A50, 'General Inputs'!$F$3:$F$32, 0)) +
        OFFSET(DRIPE!$I$10, MATCH('LI Output'!$B50, DRIPE!$I$11:$I$30, 0), MATCH('LI Output'!$B$28, DRIPE!$J$10:$N$10, 0), 1, 1) +
        INDEX(Arrearages!C$5:J$24, MATCH($A50, Arrearages!$B$5:$B$24, 0), MATCH('General Inputs'!$C$2, Arrearages!$C$4:$J$4, 0))),"Data Missing")</f>
        <v>143.37125110625209</v>
      </c>
      <c r="F50" s="17">
        <f ca="1">IFERROR(IF(VALUE(RIGHT($B$28,2))&gt;$A50,0,AVERAGEIFS(Elec_Off_Peak, 'Avoided AC'!$D:$D, $B50, 'Avoided AC'!$E:$E, "Winter") +
        INDEX(AEPS!$S$8:$S$37, MATCH($A50, 'General Inputs'!$F$3:$F$32, 0)) +
        OFFSET(DRIPE!$I$10, MATCH('LI Output'!$B50, DRIPE!$I$11:$I$30, 0), MATCH('LI Output'!$B$28, DRIPE!$J$10:$N$10, 0), 1, 1) +
        INDEX(Arrearages!C$5:J$24, MATCH($A50, Arrearages!$B$5:$B$24, 0), MATCH('General Inputs'!$C$2, Arrearages!$C$4:$J$4, 0))),"Data Missing")</f>
        <v>120.68827069948665</v>
      </c>
      <c r="G50" s="17">
        <f ca="1">IFERROR(IF(VALUE(RIGHT($B$28,2))&gt;$A50,0,AVERAGEIFS(Elec_On_Peak, 'Avoided AC'!$D:$D, $B50, 'Avoided AC'!$E:$E, "Shoulder") +
        INDEX(AEPS!$S$8:$S$37, MATCH($A50, 'General Inputs'!$F$3:$F$32, 0)) +
        OFFSET(DRIPE!$I$10, MATCH('LI Output'!$B50, DRIPE!$I$11:$I$30, 0), MATCH('LI Output'!$B$28, DRIPE!$J$10:$N$10, 0), 1, 1) +
        INDEX(Arrearages!C$5:J$24, MATCH($A50, Arrearages!$B$5:$B$24, 0), MATCH('General Inputs'!$C$2, Arrearages!$C$4:$J$4, 0))),"Data Missing")</f>
        <v>105.72797903546603</v>
      </c>
      <c r="H50" s="17">
        <f ca="1">IFERROR(IF(VALUE(RIGHT($B$28,2))&gt;$A50,0,AVERAGEIFS(Elec_Off_Peak, 'Avoided AC'!$D:$D, $B50, 'Avoided AC'!$E:$E, "Shoulder") +
        INDEX(AEPS!$S$8:$S$37, MATCH($A50, 'General Inputs'!$F$3:$F$32, 0)) +
        OFFSET(DRIPE!$I$10, MATCH('LI Output'!$B50, DRIPE!$I$11:$I$30, 0), MATCH('LI Output'!$B$28, DRIPE!$J$10:$N$10, 0), 1, 1) +
        INDEX(Arrearages!C$5:J$24, MATCH($A50, Arrearages!$B$5:$B$24, 0), MATCH('General Inputs'!$C$2, Arrearages!$C$4:$J$4, 0))),"Data Missing")</f>
        <v>87.642064236665846</v>
      </c>
      <c r="I50" s="17">
        <f ca="1">(IF(VALUE(RIGHT($B$28,2))&gt;$A50,0,INDEX('Generation Capacity'!$E$27:$K$48,MATCH($A50,'Generation Capacity'!$B$27:$B$48,FALSE),MATCH(EDC_NAME,'Generation Capacity'!$E$26:$K$26,FALSE))+
        OFFSET(DRIPE!$B$35,MATCH('LI Output'!$B50,DRIPE!$B$11:$B$30,0),MATCH('LI Output'!$B$28,DRIPE!$C$10:$G$10,0),1,1)))</f>
        <v>36.83306259830416</v>
      </c>
      <c r="J50" s="17">
        <f ca="1">(IF(VALUE(RIGHT($B$28,2))&gt;$A50,0,INDEX('Generation Capacity'!$E$27:$K$48,MATCH($A50,'Generation Capacity'!$B$27:$B$48,FALSE),MATCH(EDC_NAME,'Generation Capacity'!$E$26:$K$26,FALSE))+
        OFFSET(DRIPE!$I$35,MATCH('LI Output'!$B50,DRIPE!$B$11:$B$30,0),MATCH('LI Output'!$B$28,DRIPE!$C$10:$G$10,0),1,1)))</f>
        <v>36.83306259830416</v>
      </c>
      <c r="K50" s="17">
        <f ca="1">IFERROR(IF(VALUE(RIGHT($B$28,2))&gt;$A50,0,INDEX('T&amp;D Capacity'!$E$4:$K$23,MATCH($A50,'T&amp;D Capacity'!$B$4:$B$23,FALSE),MATCH(EDC_NAME,'T&amp;D Capacity'!$E$3:$K$3,FALSE))),0)</f>
        <v>12.769965116633969</v>
      </c>
      <c r="L50" s="17">
        <f ca="1">IFERROR(IF(VALUE(RIGHT($B$28,2))&gt;$A50,0,INDEX('T&amp;D Capacity'!$E$28:$K$47,MATCH($A50,'T&amp;D Capacity'!$B$28:$B$47,FALSE),MATCH(EDC_NAME,'T&amp;D Capacity'!$E$27:$K$27,FALSE))),0)</f>
        <v>12.769965116633969</v>
      </c>
      <c r="M50" s="17">
        <f ca="1">IFERROR(IF(VALUE(RIGHT($B$28,2))&gt;$A50,0,INDEX('T&amp;D Capacity'!$M$4:$S$23,MATCH($A50,'T&amp;D Capacity'!$B$4:$B$23,FALSE),MATCH(EDC_NAME,'T&amp;D Capacity'!$M$3:$S$3,FALSE))),0)</f>
        <v>82.873970931148946</v>
      </c>
      <c r="N50" s="17">
        <f ca="1">IFERROR(IF(VALUE(RIGHT($B$28,2))&gt;$A50,0,INDEX('T&amp;D Capacity'!$M$28:$S$47,MATCH($A50,'T&amp;D Capacity'!$B$28:$B$47,FALSE),MATCH(EDC_NAME,'T&amp;D Capacity'!$M$27:$S$27,FALSE))),0)</f>
        <v>12.017299919136418</v>
      </c>
      <c r="O50" s="18">
        <f>IFERROR(IF(VALUE(RIGHT($B$28,2))&gt;$A50,0,IFERROR(AVERAGEIF('NG Futures'!$E:$E,$B50,'NG Futures'!$I:$I),"Data Missing")),0)</f>
        <v>5.2503223688083311</v>
      </c>
      <c r="P50" s="324"/>
    </row>
    <row r="51" spans="1:16" s="50" customFormat="1" ht="15" customHeight="1" x14ac:dyDescent="0.2">
      <c r="A51" s="124">
        <f t="shared" si="3"/>
        <v>37</v>
      </c>
      <c r="B51" s="124">
        <f t="shared" si="3"/>
        <v>2046</v>
      </c>
      <c r="C51" s="122">
        <f ca="1">IFERROR(IF(VALUE(RIGHT($B$28,2))&gt;$A51,0,AVERAGEIFS(Elec_On_Peak, 'Avoided AC'!$D:$D, $B51, 'Avoided AC'!$E:$E, "Summer") +
        INDEX(AEPS!$S$8:$S$37, MATCH($A51, 'General Inputs'!$F$3:$F$32, 0)) +
        OFFSET(DRIPE!$I$10, MATCH('LI Output'!$B51, DRIPE!$I$11:$I$30, 0), MATCH('LI Output'!$B$28, DRIPE!$J$10:$N$10, 0), 1, 1) +
        INDEX(Arrearages!C$5:J$24, MATCH($A51, Arrearages!$B$5:$B$24, 0), MATCH('General Inputs'!$C$2, Arrearages!$C$4:$J$4, 0))),"Data Missing")</f>
        <v>119.74959274908434</v>
      </c>
      <c r="D51" s="17">
        <f ca="1">IFERROR(IF(VALUE(RIGHT($B$28,2))&gt;$A51,0,AVERAGEIFS(Elec_Off_Peak, 'Avoided AC'!$D:$D, $B51, 'Avoided AC'!$E:$E, "Summer") +
        INDEX(AEPS!$S$8:$S$37, MATCH($A51, 'General Inputs'!$F$3:$F$32, 0)) +
        OFFSET(DRIPE!$I$10, MATCH('LI Output'!$B51, DRIPE!$I$11:$I$30, 0), MATCH('LI Output'!$B$28, DRIPE!$J$10:$N$10, 0), 1, 1) +
        INDEX(Arrearages!C$5:J$24, MATCH($A51, Arrearages!$B$5:$B$24, 0), MATCH('General Inputs'!$C$2, Arrearages!$C$4:$J$4, 0))),"Data Missing")</f>
        <v>84.526564297707495</v>
      </c>
      <c r="E51" s="17">
        <f ca="1">IFERROR(IF(VALUE(RIGHT($B$28,2))&gt;$A51,0,AVERAGEIFS(Elec_On_Peak, 'Avoided AC'!$D:$D, $B51, 'Avoided AC'!$E:$E, "Winter") +
        INDEX(AEPS!$S$8:$S$37, MATCH($A51, 'General Inputs'!$F$3:$F$32, 0)) +
        OFFSET(DRIPE!$I$10, MATCH('LI Output'!$B51, DRIPE!$I$11:$I$30, 0), MATCH('LI Output'!$B$28, DRIPE!$J$10:$N$10, 0), 1, 1) +
        INDEX(Arrearages!C$5:J$24, MATCH($A51, Arrearages!$B$5:$B$24, 0), MATCH('General Inputs'!$C$2, Arrearages!$C$4:$J$4, 0))),"Data Missing")</f>
        <v>148.04709717748125</v>
      </c>
      <c r="F51" s="17">
        <f ca="1">IFERROR(IF(VALUE(RIGHT($B$28,2))&gt;$A51,0,AVERAGEIFS(Elec_Off_Peak, 'Avoided AC'!$D:$D, $B51, 'Avoided AC'!$E:$E, "Winter") +
        INDEX(AEPS!$S$8:$S$37, MATCH($A51, 'General Inputs'!$F$3:$F$32, 0)) +
        OFFSET(DRIPE!$I$10, MATCH('LI Output'!$B51, DRIPE!$I$11:$I$30, 0), MATCH('LI Output'!$B$28, DRIPE!$J$10:$N$10, 0), 1, 1) +
        INDEX(Arrearages!C$5:J$24, MATCH($A51, Arrearages!$B$5:$B$24, 0), MATCH('General Inputs'!$C$2, Arrearages!$C$4:$J$4, 0))),"Data Missing")</f>
        <v>124.13056713301998</v>
      </c>
      <c r="G51" s="17">
        <f ca="1">IFERROR(IF(VALUE(RIGHT($B$28,2))&gt;$A51,0,AVERAGEIFS(Elec_On_Peak, 'Avoided AC'!$D:$D, $B51, 'Avoided AC'!$E:$E, "Shoulder") +
        INDEX(AEPS!$S$8:$S$37, MATCH($A51, 'General Inputs'!$F$3:$F$32, 0)) +
        OFFSET(DRIPE!$I$10, MATCH('LI Output'!$B51, DRIPE!$I$11:$I$30, 0), MATCH('LI Output'!$B$28, DRIPE!$J$10:$N$10, 0), 1, 1) +
        INDEX(Arrearages!C$5:J$24, MATCH($A51, Arrearages!$B$5:$B$24, 0), MATCH('General Inputs'!$C$2, Arrearages!$C$4:$J$4, 0))),"Data Missing")</f>
        <v>108.31730734297922</v>
      </c>
      <c r="H51" s="17">
        <f ca="1">IFERROR(IF(VALUE(RIGHT($B$28,2))&gt;$A51,0,AVERAGEIFS(Elec_Off_Peak, 'Avoided AC'!$D:$D, $B51, 'Avoided AC'!$E:$E, "Shoulder") +
        INDEX(AEPS!$S$8:$S$37, MATCH($A51, 'General Inputs'!$F$3:$F$32, 0)) +
        OFFSET(DRIPE!$I$10, MATCH('LI Output'!$B51, DRIPE!$I$11:$I$30, 0), MATCH('LI Output'!$B$28, DRIPE!$J$10:$N$10, 0), 1, 1) +
        INDEX(Arrearages!C$5:J$24, MATCH($A51, Arrearages!$B$5:$B$24, 0), MATCH('General Inputs'!$C$2, Arrearages!$C$4:$J$4, 0))),"Data Missing")</f>
        <v>89.647444175803315</v>
      </c>
      <c r="I51" s="17">
        <f ca="1">(IF(VALUE(RIGHT($B$28,2))&gt;$A51,0,INDEX('Generation Capacity'!$E$27:$K$48,MATCH($A51,'Generation Capacity'!$B$27:$B$48,FALSE),MATCH(EDC_NAME,'Generation Capacity'!$E$26:$K$26,FALSE))+
        OFFSET(DRIPE!$B$35,MATCH('LI Output'!$B51,DRIPE!$B$11:$B$30,0),MATCH('LI Output'!$B$28,DRIPE!$C$10:$G$10,0),1,1)))</f>
        <v>37.596075464176728</v>
      </c>
      <c r="J51" s="17">
        <f ca="1">(IF(VALUE(RIGHT($B$28,2))&gt;$A51,0,INDEX('Generation Capacity'!$E$27:$K$48,MATCH($A51,'Generation Capacity'!$B$27:$B$48,FALSE),MATCH(EDC_NAME,'Generation Capacity'!$E$26:$K$26,FALSE))+
        OFFSET(DRIPE!$I$35,MATCH('LI Output'!$B51,DRIPE!$B$11:$B$30,0),MATCH('LI Output'!$B$28,DRIPE!$C$10:$G$10,0),1,1)))</f>
        <v>37.596075464176728</v>
      </c>
      <c r="K51" s="17">
        <f ca="1">IFERROR(IF(VALUE(RIGHT($B$28,2))&gt;$A51,0,INDEX('T&amp;D Capacity'!$E$4:$K$23,MATCH($A51,'T&amp;D Capacity'!$B$4:$B$23,FALSE),MATCH(EDC_NAME,'T&amp;D Capacity'!$E$3:$K$3,FALSE))),0)</f>
        <v>13.034500482237377</v>
      </c>
      <c r="L51" s="17">
        <f ca="1">IFERROR(IF(VALUE(RIGHT($B$28,2))&gt;$A51,0,INDEX('T&amp;D Capacity'!$E$28:$K$47,MATCH($A51,'T&amp;D Capacity'!$B$28:$B$47,FALSE),MATCH(EDC_NAME,'T&amp;D Capacity'!$E$27:$K$27,FALSE))),0)</f>
        <v>13.034500482237377</v>
      </c>
      <c r="M51" s="17">
        <f ca="1">IFERROR(IF(VALUE(RIGHT($B$28,2))&gt;$A51,0,INDEX('T&amp;D Capacity'!$M$4:$S$23,MATCH($A51,'T&amp;D Capacity'!$B$4:$B$23,FALSE),MATCH(EDC_NAME,'T&amp;D Capacity'!$M$3:$S$3,FALSE))),0)</f>
        <v>84.590741180640151</v>
      </c>
      <c r="N51" s="17">
        <f ca="1">IFERROR(IF(VALUE(RIGHT($B$28,2))&gt;$A51,0,INDEX('T&amp;D Capacity'!$M$28:$S$47,MATCH($A51,'T&amp;D Capacity'!$B$28:$B$47,FALSE),MATCH(EDC_NAME,'T&amp;D Capacity'!$M$27:$S$27,FALSE))),0)</f>
        <v>12.266243498749931</v>
      </c>
      <c r="O51" s="18">
        <f>IFERROR(IF(VALUE(RIGHT($B$28,2))&gt;$A51,0,IFERROR(AVERAGEIF('NG Futures'!$E:$E,$B51,'NG Futures'!$I:$I),"Data Missing")),0)</f>
        <v>5.4583218785801444</v>
      </c>
      <c r="P51" s="325"/>
    </row>
    <row r="52" spans="1:16" s="50" customFormat="1" ht="15" customHeight="1" x14ac:dyDescent="0.2"/>
    <row r="53" spans="1:16" s="50" customFormat="1" ht="15.75" customHeight="1" x14ac:dyDescent="0.2"/>
    <row r="54" spans="1:16" s="50" customFormat="1" ht="15" customHeight="1" x14ac:dyDescent="0.2"/>
    <row r="55" spans="1:16" s="50" customFormat="1" ht="15" customHeight="1" x14ac:dyDescent="0.2">
      <c r="A55" s="26" t="s">
        <v>115</v>
      </c>
      <c r="B55" s="27" t="s">
        <v>131</v>
      </c>
    </row>
    <row r="56" spans="1:16" s="50" customFormat="1" ht="15" customHeight="1" x14ac:dyDescent="0.2">
      <c r="A56" s="84"/>
      <c r="B56" s="84"/>
      <c r="C56" s="312"/>
      <c r="D56" s="312"/>
      <c r="E56" s="312"/>
      <c r="F56" s="312"/>
      <c r="G56" s="312"/>
      <c r="H56" s="312"/>
      <c r="I56" s="312"/>
      <c r="J56" s="312"/>
      <c r="K56" s="312"/>
      <c r="L56" s="312"/>
      <c r="M56" s="312"/>
      <c r="N56" s="312"/>
    </row>
    <row r="57" spans="1:16" s="50" customFormat="1" ht="41.45" customHeight="1" x14ac:dyDescent="0.2">
      <c r="A57" s="51"/>
      <c r="B57" s="51"/>
      <c r="C57" s="313" t="str">
        <f>EDC_NAME&amp;" Zone Summer ($/MWh)"</f>
        <v>West Penn Zone Summer ($/MWh)</v>
      </c>
      <c r="D57" s="313"/>
      <c r="E57" s="313" t="str">
        <f>EDC_NAME&amp;" Zone Winter ($/MWh)"</f>
        <v>West Penn Zone Winter ($/MWh)</v>
      </c>
      <c r="F57" s="313"/>
      <c r="G57" s="313" t="str">
        <f>EDC_NAME&amp;" DLC Zone Shoulder ($/MWh)"</f>
        <v>West Penn DLC Zone Shoulder ($/MWh)</v>
      </c>
      <c r="H57" s="313"/>
      <c r="I57" s="314" t="str">
        <f>EDC_NAME&amp;" Generation Capacity
($/kW/year)"</f>
        <v>West Penn Generation Capacity
($/kW/year)</v>
      </c>
      <c r="J57" s="315"/>
      <c r="K57" s="316" t="str">
        <f>EDC_NAME&amp;" Transmission Capacity
($/kW/year)"</f>
        <v>West Penn Transmission Capacity
($/kW/year)</v>
      </c>
      <c r="L57" s="316"/>
      <c r="M57" s="316" t="str">
        <f>EDC_NAME&amp;" Distribution Capacity
($/kW/year)"</f>
        <v>West Penn Distribution Capacity
($/kW/year)</v>
      </c>
      <c r="N57" s="316"/>
      <c r="O57" s="326" t="s">
        <v>118</v>
      </c>
      <c r="P57" s="51"/>
    </row>
    <row r="58" spans="1:16" s="50" customFormat="1" ht="50.1" customHeight="1" x14ac:dyDescent="0.2">
      <c r="A58" s="116" t="s">
        <v>119</v>
      </c>
      <c r="B58" s="116" t="s">
        <v>120</v>
      </c>
      <c r="C58" s="118" t="s">
        <v>121</v>
      </c>
      <c r="D58" s="118" t="s">
        <v>122</v>
      </c>
      <c r="E58" s="118" t="s">
        <v>123</v>
      </c>
      <c r="F58" s="118" t="s">
        <v>124</v>
      </c>
      <c r="G58" s="118" t="s">
        <v>125</v>
      </c>
      <c r="H58" s="118" t="s">
        <v>126</v>
      </c>
      <c r="I58" s="284" t="s">
        <v>107</v>
      </c>
      <c r="J58" s="284" t="s">
        <v>101</v>
      </c>
      <c r="K58" s="284" t="s">
        <v>107</v>
      </c>
      <c r="L58" s="284" t="s">
        <v>101</v>
      </c>
      <c r="M58" s="284" t="s">
        <v>107</v>
      </c>
      <c r="N58" s="284" t="s">
        <v>101</v>
      </c>
      <c r="O58" s="327"/>
    </row>
    <row r="59" spans="1:16" s="50" customFormat="1" ht="15" customHeight="1" x14ac:dyDescent="0.2">
      <c r="A59" s="123">
        <v>18</v>
      </c>
      <c r="B59" s="124">
        <f>Start_Year</f>
        <v>2027</v>
      </c>
      <c r="C59" s="119">
        <f ca="1">IFERROR(IF(VALUE(RIGHT($B$55,2))&gt;$A59,0,AVERAGEIFS(Elec_On_Peak, 'Avoided AC'!$D:$D, $B59, 'Avoided AC'!$E:$E, "Summer") +
        INDEX(AEPS!$S$8:$S$37, MATCH($A59, 'General Inputs'!$F$3:$F$32, 0)) +
        OFFSET(DRIPE!$I$10, MATCH('LI Output'!$B59, DRIPE!$I$11:$I$30, 0), MATCH('LI Output'!$B$55, DRIPE!$J$10:$N$10, 0), 1, 1) +
        INDEX(Arrearages!C$5:J$24, MATCH($A59, Arrearages!$B$5:$B$24, 0), MATCH('General Inputs'!$C$2, Arrearages!$C$4:$J$4, 0))),"Data Missing")</f>
        <v>0</v>
      </c>
      <c r="D59" s="117">
        <f ca="1">IFERROR(IF(VALUE(RIGHT($B$55,2))&gt;$A59,0,AVERAGEIFS(Elec_Off_Peak, 'Avoided AC'!$D:$D, $B59, 'Avoided AC'!$E:$E, "Summer") +
        INDEX(AEPS!$S$8:$S$37, MATCH($A59, 'General Inputs'!$F$3:$F$32, 0)) +
        OFFSET(DRIPE!$I$10, MATCH('LI Output'!$B59, DRIPE!$I$11:$I$30, 0), MATCH('LI Output'!$B$55, DRIPE!$J$10:$N$10, 0), 1, 1) +
        INDEX(Arrearages!C$5:J$24, MATCH($A59, Arrearages!$B$5:$B$24, 0), MATCH('General Inputs'!$C$2, Arrearages!$C$4:$J$4, 0))),"Data Missing")</f>
        <v>0</v>
      </c>
      <c r="E59" s="117">
        <f ca="1">IFERROR(IF(VALUE(RIGHT($B$55,2))&gt;$A59,0,AVERAGEIFS(Elec_On_Peak, 'Avoided AC'!$D:$D, $B59, 'Avoided AC'!$E:$E, "Winter") +
        INDEX(AEPS!$S$8:$S$37, MATCH($A59, 'General Inputs'!$F$3:$F$32, 0)) +
        OFFSET(DRIPE!$I$10, MATCH('LI Output'!$B59, DRIPE!$I$11:$I$30, 0), MATCH('LI Output'!$B$55, DRIPE!$J$10:$N$10, 0), 1, 1) +
        INDEX(Arrearages!C$5:J$24, MATCH($A59, Arrearages!$B$5:$B$24, 0), MATCH('General Inputs'!$C$2, Arrearages!$C$4:$J$4, 0))),"Data Missing")</f>
        <v>0</v>
      </c>
      <c r="F59" s="117">
        <f ca="1">IFERROR(IF(VALUE(RIGHT($B$55,2))&gt;$A59,0,AVERAGEIFS(Elec_Off_Peak, 'Avoided AC'!$D:$D, $B59, 'Avoided AC'!$E:$E, "Winter") +
        INDEX(AEPS!$S$8:$S$37, MATCH($A59, 'General Inputs'!$F$3:$F$32, 0)) +
        OFFSET(DRIPE!$I$10, MATCH('LI Output'!$B59, DRIPE!$I$11:$I$30, 0), MATCH('LI Output'!$B$55, DRIPE!$J$10:$N$10, 0), 1, 1) +
        INDEX(Arrearages!C$5:J$24, MATCH($A59, Arrearages!$B$5:$B$24, 0), MATCH('General Inputs'!$C$2, Arrearages!$C$4:$J$4, 0))),"Data Missing")</f>
        <v>0</v>
      </c>
      <c r="G59" s="117">
        <f ca="1">IFERROR(IF(VALUE(RIGHT($B$55,2))&gt;$A59,0,AVERAGEIFS(Elec_On_Peak, 'Avoided AC'!$D:$D, $B59, 'Avoided AC'!$E:$E, "Shoulder") +
        INDEX(AEPS!$S$8:$S$37, MATCH($A59, 'General Inputs'!$F$3:$F$32, 0)) +
        OFFSET(DRIPE!$I$10, MATCH('LI Output'!$B59, DRIPE!$I$11:$I$30, 0), MATCH('LI Output'!$B$55, DRIPE!$J$10:$N$10, 0), 1, 1) +
        INDEX(Arrearages!C$5:J$24, MATCH($A59, Arrearages!$B$5:$B$24, 0), MATCH('General Inputs'!$C$2, Arrearages!$C$4:$J$4, 0))),"Data Missing")</f>
        <v>0</v>
      </c>
      <c r="H59" s="117">
        <f ca="1">IFERROR(IF(VALUE(RIGHT($B$55,2))&gt;$A59,0,AVERAGEIFS(Elec_Off_Peak, 'Avoided AC'!$D:$D, $B59, 'Avoided AC'!$E:$E, "Shoulder") +
        INDEX(AEPS!$S$8:$S$37, MATCH($A59, 'General Inputs'!$F$3:$F$32, 0)) +
        OFFSET(DRIPE!$I$10, MATCH('LI Output'!$B59, DRIPE!$I$11:$I$30, 0), MATCH('LI Output'!$B$55, DRIPE!$J$10:$N$10, 0), 1, 1) +
        INDEX(Arrearages!C$5:J$24, MATCH($A59, Arrearages!$B$5:$B$24, 0), MATCH('General Inputs'!$C$2, Arrearages!$C$4:$J$4, 0))),"Data Missing")</f>
        <v>0</v>
      </c>
      <c r="I59" s="117">
        <f ca="1">(IF(VALUE(RIGHT($B$55,2))&gt;$A59,0,INDEX('Generation Capacity'!$E$27:$K$48,MATCH($A59,'Generation Capacity'!$B$27:$B$48,FALSE),MATCH(EDC_NAME,'Generation Capacity'!$E$26:$K$26,FALSE))+
        OFFSET(DRIPE!$B$35,MATCH('LI Output'!$B59,DRIPE!$B$11:$B$30,0),MATCH('LI Output'!$B$55,DRIPE!$C$10:$G$10,0),1,1)))</f>
        <v>0</v>
      </c>
      <c r="J59" s="117">
        <f ca="1">(IF(VALUE(RIGHT($B$55,2))&gt;$A59,0,INDEX('Generation Capacity'!$E$27:$K$48,MATCH($A59,'Generation Capacity'!$B$27:$B$48,FALSE),MATCH(EDC_NAME,'Generation Capacity'!$E$26:$K$26,FALSE))+
        OFFSET(DRIPE!$I$35,MATCH('LI Output'!$B59,DRIPE!$B$11:$B$30,0),MATCH('LI Output'!$B$55,DRIPE!$C$10:$G$10,0),1,1)))</f>
        <v>0</v>
      </c>
      <c r="K59" s="117">
        <f>IFERROR(IF(VALUE(RIGHT($B$55,2))&gt;$A59,0,INDEX('T&amp;D Capacity'!$E$4:$K$23,MATCH($A59,'T&amp;D Capacity'!$B$4:$B$23,FALSE),MATCH(EDC_NAME,'T&amp;D Capacity'!$E$3:$K$3,FALSE))),0)</f>
        <v>0</v>
      </c>
      <c r="L59" s="117">
        <f>IFERROR(IF(VALUE(RIGHT($B$55,2))&gt;$A59,0,INDEX('T&amp;D Capacity'!$E$28:$K$47,MATCH($A59,'T&amp;D Capacity'!$B$28:$B$47,FALSE),MATCH(EDC_NAME,'T&amp;D Capacity'!$E$27:$K$27,FALSE))),0)</f>
        <v>0</v>
      </c>
      <c r="M59" s="117">
        <f>IFERROR(IF(VALUE(RIGHT($B$55,2))&gt;$A59,0,INDEX('T&amp;D Capacity'!$M$4:$S$23,MATCH($A59,'T&amp;D Capacity'!$B$4:$B$23,FALSE),MATCH(EDC_NAME,'T&amp;D Capacity'!$M$3:$S$3,FALSE))),0)</f>
        <v>0</v>
      </c>
      <c r="N59" s="117">
        <f>IFERROR(IF(VALUE(RIGHT($B$55,2))&gt;$A59,0,INDEX('T&amp;D Capacity'!$M$28:$S$47,MATCH($A59,'T&amp;D Capacity'!$B$28:$B$47,FALSE),MATCH(EDC_NAME,'T&amp;D Capacity'!$M$27:$S$27,FALSE))),0)</f>
        <v>0</v>
      </c>
      <c r="O59" s="57">
        <f>IFERROR(IF(VALUE(RIGHT($B$55,2))&gt;$A59,0,IFERROR(AVERAGEIF('NG Futures'!$E:$E,$B59,'NG Futures'!$I:$I),"Data Missing")),0)</f>
        <v>0</v>
      </c>
      <c r="P59" s="317" t="s">
        <v>127</v>
      </c>
    </row>
    <row r="60" spans="1:16" s="50" customFormat="1" ht="15" customHeight="1" x14ac:dyDescent="0.2">
      <c r="A60" s="124">
        <f>A59+1</f>
        <v>19</v>
      </c>
      <c r="B60" s="124">
        <f>B59+1</f>
        <v>2028</v>
      </c>
      <c r="C60" s="120">
        <f ca="1">IFERROR(IF(VALUE(RIGHT($B$55,2))&gt;$A60,0,AVERAGEIFS(Elec_On_Peak, 'Avoided AC'!$D:$D, $B60, 'Avoided AC'!$E:$E, "Summer") +
        INDEX(AEPS!$S$8:$S$37, MATCH($A60, 'General Inputs'!$F$3:$F$32, 0)) +
        OFFSET(DRIPE!$I$10, MATCH('LI Output'!$B60, DRIPE!$I$11:$I$30, 0), MATCH('LI Output'!$B$55, DRIPE!$J$10:$N$10, 0), 1, 1) +
        INDEX(Arrearages!C$5:J$24, MATCH($A60, Arrearages!$B$5:$B$24, 0), MATCH('General Inputs'!$C$2, Arrearages!$C$4:$J$4, 0))),"Data Missing")</f>
        <v>0</v>
      </c>
      <c r="D60" s="14">
        <f ca="1">IFERROR(IF(VALUE(RIGHT($B$55,2))&gt;$A60,0,AVERAGEIFS(Elec_Off_Peak, 'Avoided AC'!$D:$D, $B60, 'Avoided AC'!$E:$E, "Summer") +
        INDEX(AEPS!$S$8:$S$37, MATCH($A60, 'General Inputs'!$F$3:$F$32, 0)) +
        OFFSET(DRIPE!$I$10, MATCH('LI Output'!$B60, DRIPE!$I$11:$I$30, 0), MATCH('LI Output'!$B$55, DRIPE!$J$10:$N$10, 0), 1, 1) +
        INDEX(Arrearages!C$5:J$24, MATCH($A60, Arrearages!$B$5:$B$24, 0), MATCH('General Inputs'!$C$2, Arrearages!$C$4:$J$4, 0))),"Data Missing")</f>
        <v>0</v>
      </c>
      <c r="E60" s="14">
        <f ca="1">IFERROR(IF(VALUE(RIGHT($B$55,2))&gt;$A60,0,AVERAGEIFS(Elec_On_Peak, 'Avoided AC'!$D:$D, $B60, 'Avoided AC'!$E:$E, "Winter") +
        INDEX(AEPS!$S$8:$S$37, MATCH($A60, 'General Inputs'!$F$3:$F$32, 0)) +
        OFFSET(DRIPE!$I$10, MATCH('LI Output'!$B60, DRIPE!$I$11:$I$30, 0), MATCH('LI Output'!$B$55, DRIPE!$J$10:$N$10, 0), 1, 1) +
        INDEX(Arrearages!C$5:J$24, MATCH($A60, Arrearages!$B$5:$B$24, 0), MATCH('General Inputs'!$C$2, Arrearages!$C$4:$J$4, 0))),"Data Missing")</f>
        <v>0</v>
      </c>
      <c r="F60" s="14">
        <f ca="1">IFERROR(IF(VALUE(RIGHT($B$55,2))&gt;$A60,0,AVERAGEIFS(Elec_Off_Peak, 'Avoided AC'!$D:$D, $B60, 'Avoided AC'!$E:$E, "Winter") +
        INDEX(AEPS!$S$8:$S$37, MATCH($A60, 'General Inputs'!$F$3:$F$32, 0)) +
        OFFSET(DRIPE!$I$10, MATCH('LI Output'!$B60, DRIPE!$I$11:$I$30, 0), MATCH('LI Output'!$B$55, DRIPE!$J$10:$N$10, 0), 1, 1) +
        INDEX(Arrearages!C$5:J$24, MATCH($A60, Arrearages!$B$5:$B$24, 0), MATCH('General Inputs'!$C$2, Arrearages!$C$4:$J$4, 0))),"Data Missing")</f>
        <v>0</v>
      </c>
      <c r="G60" s="14">
        <f ca="1">IFERROR(IF(VALUE(RIGHT($B$55,2))&gt;$A60,0,AVERAGEIFS(Elec_On_Peak, 'Avoided AC'!$D:$D, $B60, 'Avoided AC'!$E:$E, "Shoulder") +
        INDEX(AEPS!$S$8:$S$37, MATCH($A60, 'General Inputs'!$F$3:$F$32, 0)) +
        OFFSET(DRIPE!$I$10, MATCH('LI Output'!$B60, DRIPE!$I$11:$I$30, 0), MATCH('LI Output'!$B$55, DRIPE!$J$10:$N$10, 0), 1, 1) +
        INDEX(Arrearages!C$5:J$24, MATCH($A60, Arrearages!$B$5:$B$24, 0), MATCH('General Inputs'!$C$2, Arrearages!$C$4:$J$4, 0))),"Data Missing")</f>
        <v>0</v>
      </c>
      <c r="H60" s="14">
        <f ca="1">IFERROR(IF(VALUE(RIGHT($B$55,2))&gt;$A60,0,AVERAGEIFS(Elec_Off_Peak, 'Avoided AC'!$D:$D, $B60, 'Avoided AC'!$E:$E, "Shoulder") +
        INDEX(AEPS!$S$8:$S$37, MATCH($A60, 'General Inputs'!$F$3:$F$32, 0)) +
        OFFSET(DRIPE!$I$10, MATCH('LI Output'!$B60, DRIPE!$I$11:$I$30, 0), MATCH('LI Output'!$B$55, DRIPE!$J$10:$N$10, 0), 1, 1) +
        INDEX(Arrearages!C$5:J$24, MATCH($A60, Arrearages!$B$5:$B$24, 0), MATCH('General Inputs'!$C$2, Arrearages!$C$4:$J$4, 0))),"Data Missing")</f>
        <v>0</v>
      </c>
      <c r="I60" s="14">
        <f ca="1">(IF(VALUE(RIGHT($B$55,2))&gt;$A60,0,INDEX('Generation Capacity'!$E$27:$K$48,MATCH($A60,'Generation Capacity'!$B$27:$B$48,FALSE),MATCH(EDC_NAME,'Generation Capacity'!$E$26:$K$26,FALSE))+
        OFFSET(DRIPE!$B$35,MATCH('LI Output'!$B60,DRIPE!$B$11:$B$30,0),MATCH('LI Output'!$B$55,DRIPE!$C$10:$G$10,0),1,1)))</f>
        <v>0</v>
      </c>
      <c r="J60" s="14">
        <f ca="1">(IF(VALUE(RIGHT($B$55,2))&gt;$A60,0,INDEX('Generation Capacity'!$E$27:$K$48,MATCH($A60,'Generation Capacity'!$B$27:$B$48,FALSE),MATCH(EDC_NAME,'Generation Capacity'!$E$26:$K$26,FALSE))+
        OFFSET(DRIPE!$I$35,MATCH('LI Output'!$B60,DRIPE!$B$11:$B$30,0),MATCH('LI Output'!$B$55,DRIPE!$C$10:$G$10,0),1,1)))</f>
        <v>0</v>
      </c>
      <c r="K60" s="14">
        <f>IFERROR(IF(VALUE(RIGHT($B$55,2))&gt;$A60,0,INDEX('T&amp;D Capacity'!$E$4:$K$23,MATCH($A60,'T&amp;D Capacity'!$B$4:$B$23,FALSE),MATCH(EDC_NAME,'T&amp;D Capacity'!$E$3:$K$3,FALSE))),0)</f>
        <v>0</v>
      </c>
      <c r="L60" s="14">
        <f>IFERROR(IF(VALUE(RIGHT($B$55,2))&gt;$A60,0,INDEX('T&amp;D Capacity'!$E$28:$K$47,MATCH($A60,'T&amp;D Capacity'!$B$28:$B$47,FALSE),MATCH(EDC_NAME,'T&amp;D Capacity'!$E$27:$K$27,FALSE))),0)</f>
        <v>0</v>
      </c>
      <c r="M60" s="14">
        <f>IFERROR(IF(VALUE(RIGHT($B$55,2))&gt;$A60,0,INDEX('T&amp;D Capacity'!$M$4:$S$23,MATCH($A60,'T&amp;D Capacity'!$B$4:$B$23,FALSE),MATCH(EDC_NAME,'T&amp;D Capacity'!$M$3:$S$3,FALSE))),0)</f>
        <v>0</v>
      </c>
      <c r="N60" s="14">
        <f>IFERROR(IF(VALUE(RIGHT($B$55,2))&gt;$A60,0,INDEX('T&amp;D Capacity'!$M$28:$S$47,MATCH($A60,'T&amp;D Capacity'!$B$28:$B$47,FALSE),MATCH(EDC_NAME,'T&amp;D Capacity'!$M$27:$S$27,FALSE))),0)</f>
        <v>0</v>
      </c>
      <c r="O60" s="57">
        <f>IFERROR(IF(VALUE(RIGHT($B$55,2))&gt;$A60,0,IFERROR(AVERAGEIF('NG Futures'!$E:$E,$B60,'NG Futures'!$I:$I),"Data Missing")),0)</f>
        <v>0</v>
      </c>
      <c r="P60" s="318"/>
    </row>
    <row r="61" spans="1:16" s="50" customFormat="1" ht="15" customHeight="1" x14ac:dyDescent="0.2">
      <c r="A61" s="124">
        <f t="shared" ref="A61:B76" si="4">A60+1</f>
        <v>20</v>
      </c>
      <c r="B61" s="124">
        <f t="shared" si="4"/>
        <v>2029</v>
      </c>
      <c r="C61" s="120">
        <f ca="1">IFERROR(IF(VALUE(RIGHT($B$55,2))&gt;$A61,0,AVERAGEIFS(Elec_On_Peak, 'Avoided AC'!$D:$D, $B61, 'Avoided AC'!$E:$E, "Summer") +
        INDEX(AEPS!$S$8:$S$37, MATCH($A61, 'General Inputs'!$F$3:$F$32, 0)) +
        OFFSET(DRIPE!$I$10, MATCH('LI Output'!$B61, DRIPE!$I$11:$I$30, 0), MATCH('LI Output'!$B$55, DRIPE!$J$10:$N$10, 0), 1, 1) +
        INDEX(Arrearages!C$5:J$24, MATCH($A61, Arrearages!$B$5:$B$24, 0), MATCH('General Inputs'!$C$2, Arrearages!$C$4:$J$4, 0))),"Data Missing")</f>
        <v>109.58528223977997</v>
      </c>
      <c r="D61" s="14">
        <f ca="1">IFERROR(IF(VALUE(RIGHT($B$55,2))&gt;$A61,0,AVERAGEIFS(Elec_Off_Peak, 'Avoided AC'!$D:$D, $B61, 'Avoided AC'!$E:$E, "Summer") +
        INDEX(AEPS!$S$8:$S$37, MATCH($A61, 'General Inputs'!$F$3:$F$32, 0)) +
        OFFSET(DRIPE!$I$10, MATCH('LI Output'!$B61, DRIPE!$I$11:$I$30, 0), MATCH('LI Output'!$B$55, DRIPE!$J$10:$N$10, 0), 1, 1) +
        INDEX(Arrearages!C$5:J$24, MATCH($A61, Arrearages!$B$5:$B$24, 0), MATCH('General Inputs'!$C$2, Arrearages!$C$4:$J$4, 0))),"Data Missing")</f>
        <v>78.804766843185803</v>
      </c>
      <c r="E61" s="14">
        <f ca="1">IFERROR(IF(VALUE(RIGHT($B$55,2))&gt;$A61,0,AVERAGEIFS(Elec_On_Peak, 'Avoided AC'!$D:$D, $B61, 'Avoided AC'!$E:$E, "Winter") +
        INDEX(AEPS!$S$8:$S$37, MATCH($A61, 'General Inputs'!$F$3:$F$32, 0)) +
        OFFSET(DRIPE!$I$10, MATCH('LI Output'!$B61, DRIPE!$I$11:$I$30, 0), MATCH('LI Output'!$B$55, DRIPE!$J$10:$N$10, 0), 1, 1) +
        INDEX(Arrearages!C$5:J$24, MATCH($A61, Arrearages!$B$5:$B$24, 0), MATCH('General Inputs'!$C$2, Arrearages!$C$4:$J$4, 0))),"Data Missing")</f>
        <v>118.54389378345809</v>
      </c>
      <c r="F61" s="14">
        <f ca="1">IFERROR(IF(VALUE(RIGHT($B$55,2))&gt;$A61,0,AVERAGEIFS(Elec_Off_Peak, 'Avoided AC'!$D:$D, $B61, 'Avoided AC'!$E:$E, "Winter") +
        INDEX(AEPS!$S$8:$S$37, MATCH($A61, 'General Inputs'!$F$3:$F$32, 0)) +
        OFFSET(DRIPE!$I$10, MATCH('LI Output'!$B61, DRIPE!$I$11:$I$30, 0), MATCH('LI Output'!$B$55, DRIPE!$J$10:$N$10, 0), 1, 1) +
        INDEX(Arrearages!C$5:J$24, MATCH($A61, Arrearages!$B$5:$B$24, 0), MATCH('General Inputs'!$C$2, Arrearages!$C$4:$J$4, 0))),"Data Missing")</f>
        <v>105.0436677323203</v>
      </c>
      <c r="G61" s="14">
        <f ca="1">IFERROR(IF(VALUE(RIGHT($B$55,2))&gt;$A61,0,AVERAGEIFS(Elec_On_Peak, 'Avoided AC'!$D:$D, $B61, 'Avoided AC'!$E:$E, "Shoulder") +
        INDEX(AEPS!$S$8:$S$37, MATCH($A61, 'General Inputs'!$F$3:$F$32, 0)) +
        OFFSET(DRIPE!$I$10, MATCH('LI Output'!$B61, DRIPE!$I$11:$I$30, 0), MATCH('LI Output'!$B$55, DRIPE!$J$10:$N$10, 0), 1, 1) +
        INDEX(Arrearages!C$5:J$24, MATCH($A61, Arrearages!$B$5:$B$24, 0), MATCH('General Inputs'!$C$2, Arrearages!$C$4:$J$4, 0))),"Data Missing")</f>
        <v>94.99205711796354</v>
      </c>
      <c r="H61" s="14">
        <f ca="1">IFERROR(IF(VALUE(RIGHT($B$55,2))&gt;$A61,0,AVERAGEIFS(Elec_Off_Peak, 'Avoided AC'!$D:$D, $B61, 'Avoided AC'!$E:$E, "Shoulder") +
        INDEX(AEPS!$S$8:$S$37, MATCH($A61, 'General Inputs'!$F$3:$F$32, 0)) +
        OFFSET(DRIPE!$I$10, MATCH('LI Output'!$B61, DRIPE!$I$11:$I$30, 0), MATCH('LI Output'!$B$55, DRIPE!$J$10:$N$10, 0), 1, 1) +
        INDEX(Arrearages!C$5:J$24, MATCH($A61, Arrearages!$B$5:$B$24, 0), MATCH('General Inputs'!$C$2, Arrearages!$C$4:$J$4, 0))),"Data Missing")</f>
        <v>81.413945147299941</v>
      </c>
      <c r="I61" s="14">
        <f ca="1">(IF(VALUE(RIGHT($B$55,2))&gt;$A61,0,INDEX('Generation Capacity'!$E$27:$K$48,MATCH($A61,'Generation Capacity'!$B$27:$B$48,FALSE),MATCH(EDC_NAME,'Generation Capacity'!$E$26:$K$26,FALSE))+
        OFFSET(DRIPE!$B$35,MATCH('LI Output'!$B61,DRIPE!$B$11:$B$30,0),MATCH('LI Output'!$B$55,DRIPE!$C$10:$G$10,0),1,1)))</f>
        <v>39.556568546614422</v>
      </c>
      <c r="J61" s="14">
        <f ca="1">(IF(VALUE(RIGHT($B$55,2))&gt;$A61,0,INDEX('Generation Capacity'!$E$27:$K$48,MATCH($A61,'Generation Capacity'!$B$27:$B$48,FALSE),MATCH(EDC_NAME,'Generation Capacity'!$E$26:$K$26,FALSE))+
        OFFSET(DRIPE!$I$35,MATCH('LI Output'!$B61,DRIPE!$B$11:$B$30,0),MATCH('LI Output'!$B$55,DRIPE!$C$10:$G$10,0),1,1)))</f>
        <v>39.556568546614422</v>
      </c>
      <c r="K61" s="14">
        <f ca="1">IFERROR(IF(VALUE(RIGHT($B$55,2))&gt;$A61,0,INDEX('T&amp;D Capacity'!$E$4:$K$23,MATCH($A61,'T&amp;D Capacity'!$B$4:$B$23,FALSE),MATCH(EDC_NAME,'T&amp;D Capacity'!$E$3:$K$3,FALSE))),0)</f>
        <v>9.1984532626252022</v>
      </c>
      <c r="L61" s="14">
        <f ca="1">IFERROR(IF(VALUE(RIGHT($B$55,2))&gt;$A61,0,INDEX('T&amp;D Capacity'!$E$28:$K$47,MATCH($A61,'T&amp;D Capacity'!$B$28:$B$47,FALSE),MATCH(EDC_NAME,'T&amp;D Capacity'!$E$27:$K$27,FALSE))),0)</f>
        <v>9.1984532626252022</v>
      </c>
      <c r="M61" s="14">
        <f>IFERROR(IF(VALUE(RIGHT($B$55,2))&gt;$A61,0,INDEX('T&amp;D Capacity'!$M$4:$S$23,MATCH($A61,'T&amp;D Capacity'!$B$4:$B$23,FALSE),MATCH(EDC_NAME,'T&amp;D Capacity'!$M$3:$S$3,FALSE))),0)</f>
        <v>51.885319620370865</v>
      </c>
      <c r="N61" s="14">
        <f>IFERROR(IF(VALUE(RIGHT($B$55,2))&gt;$A61,0,INDEX('T&amp;D Capacity'!$M$28:$S$47,MATCH($A61,'T&amp;D Capacity'!$B$28:$B$47,FALSE),MATCH(EDC_NAME,'T&amp;D Capacity'!$M$27:$S$27,FALSE))),0)</f>
        <v>7.0145137757062912</v>
      </c>
      <c r="O61" s="57">
        <f>IFERROR(IF(VALUE(RIGHT($B$55,2))&gt;$A61,0,IFERROR(AVERAGEIF('NG Futures'!$E:$E,$B61,'NG Futures'!$I:$I),"Data Missing")),0)</f>
        <v>3.5623333333333331</v>
      </c>
      <c r="P61" s="318"/>
    </row>
    <row r="62" spans="1:16" s="50" customFormat="1" ht="15" customHeight="1" x14ac:dyDescent="0.2">
      <c r="A62" s="124">
        <f t="shared" si="4"/>
        <v>21</v>
      </c>
      <c r="B62" s="124">
        <f t="shared" si="4"/>
        <v>2030</v>
      </c>
      <c r="C62" s="120">
        <f ca="1">IFERROR(IF(VALUE(RIGHT($B$55,2))&gt;$A62,0,AVERAGEIFS(Elec_On_Peak, 'Avoided AC'!$D:$D, $B62, 'Avoided AC'!$E:$E, "Summer") +
        INDEX(AEPS!$S$8:$S$37, MATCH($A62, 'General Inputs'!$F$3:$F$32, 0)) +
        OFFSET(DRIPE!$I$10, MATCH('LI Output'!$B62, DRIPE!$I$11:$I$30, 0), MATCH('LI Output'!$B$55, DRIPE!$J$10:$N$10, 0), 1, 1) +
        INDEX(Arrearages!C$5:J$24, MATCH($A62, Arrearages!$B$5:$B$24, 0), MATCH('General Inputs'!$C$2, Arrearages!$C$4:$J$4, 0))),"Data Missing")</f>
        <v>118.16783583755694</v>
      </c>
      <c r="D62" s="14">
        <f ca="1">IFERROR(IF(VALUE(RIGHT($B$55,2))&gt;$A62,0,AVERAGEIFS(Elec_Off_Peak, 'Avoided AC'!$D:$D, $B62, 'Avoided AC'!$E:$E, "Summer") +
        INDEX(AEPS!$S$8:$S$37, MATCH($A62, 'General Inputs'!$F$3:$F$32, 0)) +
        OFFSET(DRIPE!$I$10, MATCH('LI Output'!$B62, DRIPE!$I$11:$I$30, 0), MATCH('LI Output'!$B$55, DRIPE!$J$10:$N$10, 0), 1, 1) +
        INDEX(Arrearages!C$5:J$24, MATCH($A62, Arrearages!$B$5:$B$24, 0), MATCH('General Inputs'!$C$2, Arrearages!$C$4:$J$4, 0))),"Data Missing")</f>
        <v>89.36043040228293</v>
      </c>
      <c r="E62" s="14">
        <f ca="1">IFERROR(IF(VALUE(RIGHT($B$55,2))&gt;$A62,0,AVERAGEIFS(Elec_On_Peak, 'Avoided AC'!$D:$D, $B62, 'Avoided AC'!$E:$E, "Winter") +
        INDEX(AEPS!$S$8:$S$37, MATCH($A62, 'General Inputs'!$F$3:$F$32, 0)) +
        OFFSET(DRIPE!$I$10, MATCH('LI Output'!$B62, DRIPE!$I$11:$I$30, 0), MATCH('LI Output'!$B$55, DRIPE!$J$10:$N$10, 0), 1, 1) +
        INDEX(Arrearages!C$5:J$24, MATCH($A62, Arrearages!$B$5:$B$24, 0), MATCH('General Inputs'!$C$2, Arrearages!$C$4:$J$4, 0))),"Data Missing")</f>
        <v>129.99611081620768</v>
      </c>
      <c r="F62" s="14">
        <f ca="1">IFERROR(IF(VALUE(RIGHT($B$55,2))&gt;$A62,0,AVERAGEIFS(Elec_Off_Peak, 'Avoided AC'!$D:$D, $B62, 'Avoided AC'!$E:$E, "Winter") +
        INDEX(AEPS!$S$8:$S$37, MATCH($A62, 'General Inputs'!$F$3:$F$32, 0)) +
        OFFSET(DRIPE!$I$10, MATCH('LI Output'!$B62, DRIPE!$I$11:$I$30, 0), MATCH('LI Output'!$B$55, DRIPE!$J$10:$N$10, 0), 1, 1) +
        INDEX(Arrearages!C$5:J$24, MATCH($A62, Arrearages!$B$5:$B$24, 0), MATCH('General Inputs'!$C$2, Arrearages!$C$4:$J$4, 0))),"Data Missing")</f>
        <v>115.82087346251299</v>
      </c>
      <c r="G62" s="14">
        <f ca="1">IFERROR(IF(VALUE(RIGHT($B$55,2))&gt;$A62,0,AVERAGEIFS(Elec_On_Peak, 'Avoided AC'!$D:$D, $B62, 'Avoided AC'!$E:$E, "Shoulder") +
        INDEX(AEPS!$S$8:$S$37, MATCH($A62, 'General Inputs'!$F$3:$F$32, 0)) +
        OFFSET(DRIPE!$I$10, MATCH('LI Output'!$B62, DRIPE!$I$11:$I$30, 0), MATCH('LI Output'!$B$55, DRIPE!$J$10:$N$10, 0), 1, 1) +
        INDEX(Arrearages!C$5:J$24, MATCH($A62, Arrearages!$B$5:$B$24, 0), MATCH('General Inputs'!$C$2, Arrearages!$C$4:$J$4, 0))),"Data Missing")</f>
        <v>107.31832724761371</v>
      </c>
      <c r="H62" s="14">
        <f ca="1">IFERROR(IF(VALUE(RIGHT($B$55,2))&gt;$A62,0,AVERAGEIFS(Elec_Off_Peak, 'Avoided AC'!$D:$D, $B62, 'Avoided AC'!$E:$E, "Shoulder") +
        INDEX(AEPS!$S$8:$S$37, MATCH($A62, 'General Inputs'!$F$3:$F$32, 0)) +
        OFFSET(DRIPE!$I$10, MATCH('LI Output'!$B62, DRIPE!$I$11:$I$30, 0), MATCH('LI Output'!$B$55, DRIPE!$J$10:$N$10, 0), 1, 1) +
        INDEX(Arrearages!C$5:J$24, MATCH($A62, Arrearages!$B$5:$B$24, 0), MATCH('General Inputs'!$C$2, Arrearages!$C$4:$J$4, 0))),"Data Missing")</f>
        <v>92.37721168524871</v>
      </c>
      <c r="I62" s="14">
        <f ca="1">(IF(VALUE(RIGHT($B$55,2))&gt;$A62,0,INDEX('Generation Capacity'!$E$27:$K$48,MATCH($A62,'Generation Capacity'!$B$27:$B$48,FALSE),MATCH(EDC_NAME,'Generation Capacity'!$E$26:$K$26,FALSE))+
        OFFSET(DRIPE!$B$35,MATCH('LI Output'!$B62,DRIPE!$B$11:$B$30,0),MATCH('LI Output'!$B$55,DRIPE!$C$10:$G$10,0),1,1)))</f>
        <v>40.366181495546314</v>
      </c>
      <c r="J62" s="14">
        <f ca="1">(IF(VALUE(RIGHT($B$55,2))&gt;$A62,0,INDEX('Generation Capacity'!$E$27:$K$48,MATCH($A62,'Generation Capacity'!$B$27:$B$48,FALSE),MATCH(EDC_NAME,'Generation Capacity'!$E$26:$K$26,FALSE))+
        OFFSET(DRIPE!$I$35,MATCH('LI Output'!$B62,DRIPE!$B$11:$B$30,0),MATCH('LI Output'!$B$55,DRIPE!$C$10:$G$10,0),1,1)))</f>
        <v>40.366181495546314</v>
      </c>
      <c r="K62" s="14">
        <f ca="1">IFERROR(IF(VALUE(RIGHT($B$55,2))&gt;$A62,0,INDEX('T&amp;D Capacity'!$E$4:$K$23,MATCH($A62,'T&amp;D Capacity'!$B$4:$B$23,FALSE),MATCH(EDC_NAME,'T&amp;D Capacity'!$E$3:$K$3,FALSE))),0)</f>
        <v>9.3890032112421178</v>
      </c>
      <c r="L62" s="14">
        <f ca="1">IFERROR(IF(VALUE(RIGHT($B$55,2))&gt;$A62,0,INDEX('T&amp;D Capacity'!$E$28:$K$47,MATCH($A62,'T&amp;D Capacity'!$B$28:$B$47,FALSE),MATCH(EDC_NAME,'T&amp;D Capacity'!$E$27:$K$27,FALSE))),0)</f>
        <v>9.3890032112421178</v>
      </c>
      <c r="M62" s="14">
        <f>IFERROR(IF(VALUE(RIGHT($B$55,2))&gt;$A62,0,INDEX('T&amp;D Capacity'!$M$4:$S$23,MATCH($A62,'T&amp;D Capacity'!$B$4:$B$23,FALSE),MATCH(EDC_NAME,'T&amp;D Capacity'!$M$3:$S$3,FALSE))),0)</f>
        <v>56.91817232966423</v>
      </c>
      <c r="N62" s="14">
        <f>IFERROR(IF(VALUE(RIGHT($B$55,2))&gt;$A62,0,INDEX('T&amp;D Capacity'!$M$28:$S$47,MATCH($A62,'T&amp;D Capacity'!$B$28:$B$47,FALSE),MATCH(EDC_NAME,'T&amp;D Capacity'!$M$27:$S$27,FALSE))),0)</f>
        <v>7.9289728403091431</v>
      </c>
      <c r="O62" s="57">
        <f>IFERROR(IF(VALUE(RIGHT($B$55,2))&gt;$A62,0,IFERROR(AVERAGEIF('NG Futures'!$E:$E,$B62,'NG Futures'!$I:$I),"Data Missing")),0)</f>
        <v>3.4177733333333329</v>
      </c>
      <c r="P62" s="319"/>
    </row>
    <row r="63" spans="1:16" s="50" customFormat="1" ht="15" customHeight="1" x14ac:dyDescent="0.2">
      <c r="A63" s="124">
        <f t="shared" si="4"/>
        <v>22</v>
      </c>
      <c r="B63" s="124">
        <f t="shared" si="4"/>
        <v>2031</v>
      </c>
      <c r="C63" s="121">
        <f ca="1">IFERROR(IF(VALUE(RIGHT($B$55,2))&gt;$A63,0,AVERAGEIFS(Elec_On_Peak, 'Avoided AC'!$D:$D, $B63, 'Avoided AC'!$E:$E, "Summer") +
        INDEX(AEPS!$S$8:$S$37, MATCH($A63, 'General Inputs'!$F$3:$F$32, 0)) +
        OFFSET(DRIPE!$I$10, MATCH('LI Output'!$B63, DRIPE!$I$11:$I$30, 0), MATCH('LI Output'!$B$55, DRIPE!$J$10:$N$10, 0), 1, 1) +
        INDEX(Arrearages!C$5:J$24, MATCH($A63, Arrearages!$B$5:$B$24, 0), MATCH('General Inputs'!$C$2, Arrearages!$C$4:$J$4, 0))),"Data Missing")</f>
        <v>125.41580714052344</v>
      </c>
      <c r="D63" s="15">
        <f ca="1">IFERROR(IF(VALUE(RIGHT($B$55,2))&gt;$A63,0,AVERAGEIFS(Elec_Off_Peak, 'Avoided AC'!$D:$D, $B63, 'Avoided AC'!$E:$E, "Summer") +
        INDEX(AEPS!$S$8:$S$37, MATCH($A63, 'General Inputs'!$F$3:$F$32, 0)) +
        OFFSET(DRIPE!$I$10, MATCH('LI Output'!$B63, DRIPE!$I$11:$I$30, 0), MATCH('LI Output'!$B$55, DRIPE!$J$10:$N$10, 0), 1, 1) +
        INDEX(Arrearages!C$5:J$24, MATCH($A63, Arrearages!$B$5:$B$24, 0), MATCH('General Inputs'!$C$2, Arrearages!$C$4:$J$4, 0))),"Data Missing")</f>
        <v>95.469874538793405</v>
      </c>
      <c r="E63" s="15">
        <f ca="1">IFERROR(IF(VALUE(RIGHT($B$55,2))&gt;$A63,0,AVERAGEIFS(Elec_On_Peak, 'Avoided AC'!$D:$D, $B63, 'Avoided AC'!$E:$E, "Winter") +
        INDEX(AEPS!$S$8:$S$37, MATCH($A63, 'General Inputs'!$F$3:$F$32, 0)) +
        OFFSET(DRIPE!$I$10, MATCH('LI Output'!$B63, DRIPE!$I$11:$I$30, 0), MATCH('LI Output'!$B$55, DRIPE!$J$10:$N$10, 0), 1, 1) +
        INDEX(Arrearages!C$5:J$24, MATCH($A63, Arrearages!$B$5:$B$24, 0), MATCH('General Inputs'!$C$2, Arrearages!$C$4:$J$4, 0))),"Data Missing")</f>
        <v>132.73124696382274</v>
      </c>
      <c r="F63" s="15">
        <f ca="1">IFERROR(IF(VALUE(RIGHT($B$55,2))&gt;$A63,0,AVERAGEIFS(Elec_Off_Peak, 'Avoided AC'!$D:$D, $B63, 'Avoided AC'!$E:$E, "Winter") +
        INDEX(AEPS!$S$8:$S$37, MATCH($A63, 'General Inputs'!$F$3:$F$32, 0)) +
        OFFSET(DRIPE!$I$10, MATCH('LI Output'!$B63, DRIPE!$I$11:$I$30, 0), MATCH('LI Output'!$B$55, DRIPE!$J$10:$N$10, 0), 1, 1) +
        INDEX(Arrearages!C$5:J$24, MATCH($A63, Arrearages!$B$5:$B$24, 0), MATCH('General Inputs'!$C$2, Arrearages!$C$4:$J$4, 0))),"Data Missing")</f>
        <v>120.62421620091264</v>
      </c>
      <c r="G63" s="15">
        <f ca="1">IFERROR(IF(VALUE(RIGHT($B$55,2))&gt;$A63,0,AVERAGEIFS(Elec_On_Peak, 'Avoided AC'!$D:$D, $B63, 'Avoided AC'!$E:$E, "Shoulder") +
        INDEX(AEPS!$S$8:$S$37, MATCH($A63, 'General Inputs'!$F$3:$F$32, 0)) +
        OFFSET(DRIPE!$I$10, MATCH('LI Output'!$B63, DRIPE!$I$11:$I$30, 0), MATCH('LI Output'!$B$55, DRIPE!$J$10:$N$10, 0), 1, 1) +
        INDEX(Arrearages!C$5:J$24, MATCH($A63, Arrearages!$B$5:$B$24, 0), MATCH('General Inputs'!$C$2, Arrearages!$C$4:$J$4, 0))),"Data Missing")</f>
        <v>111.39962229149593</v>
      </c>
      <c r="H63" s="15">
        <f ca="1">IFERROR(IF(VALUE(RIGHT($B$55,2))&gt;$A63,0,AVERAGEIFS(Elec_Off_Peak, 'Avoided AC'!$D:$D, $B63, 'Avoided AC'!$E:$E, "Shoulder") +
        INDEX(AEPS!$S$8:$S$37, MATCH($A63, 'General Inputs'!$F$3:$F$32, 0)) +
        OFFSET(DRIPE!$I$10, MATCH('LI Output'!$B63, DRIPE!$I$11:$I$30, 0), MATCH('LI Output'!$B$55, DRIPE!$J$10:$N$10, 0), 1, 1) +
        INDEX(Arrearages!C$5:J$24, MATCH($A63, Arrearages!$B$5:$B$24, 0), MATCH('General Inputs'!$C$2, Arrearages!$C$4:$J$4, 0))),"Data Missing")</f>
        <v>98.811307438789626</v>
      </c>
      <c r="I63" s="15">
        <f ca="1">(IF(VALUE(RIGHT($B$55,2))&gt;$A63,0,INDEX('Generation Capacity'!$E$27:$K$48,MATCH($A63,'Generation Capacity'!$B$27:$B$48,FALSE),MATCH(EDC_NAME,'Generation Capacity'!$E$26:$K$26,FALSE))+
        OFFSET(DRIPE!$B$35,MATCH('LI Output'!$B63,DRIPE!$B$11:$B$30,0),MATCH('LI Output'!$B$55,DRIPE!$C$10:$G$10,0),1,1)))</f>
        <v>41.192179915077226</v>
      </c>
      <c r="J63" s="15">
        <f ca="1">(IF(VALUE(RIGHT($B$55,2))&gt;$A63,0,INDEX('Generation Capacity'!$E$27:$K$48,MATCH($A63,'Generation Capacity'!$B$27:$B$48,FALSE),MATCH(EDC_NAME,'Generation Capacity'!$E$26:$K$26,FALSE))+
        OFFSET(DRIPE!$I$35,MATCH('LI Output'!$B63,DRIPE!$B$11:$B$30,0),MATCH('LI Output'!$B$55,DRIPE!$C$10:$G$10,0),1,1)))</f>
        <v>41.192179915077226</v>
      </c>
      <c r="K63" s="15">
        <f ca="1">IFERROR(IF(VALUE(RIGHT($B$55,2))&gt;$A63,0,INDEX('T&amp;D Capacity'!$E$4:$K$23,MATCH($A63,'T&amp;D Capacity'!$B$4:$B$23,FALSE),MATCH(EDC_NAME,'T&amp;D Capacity'!$E$3:$K$3,FALSE))),0)</f>
        <v>9.5835004846843326</v>
      </c>
      <c r="L63" s="15">
        <f ca="1">IFERROR(IF(VALUE(RIGHT($B$55,2))&gt;$A63,0,INDEX('T&amp;D Capacity'!$E$28:$K$47,MATCH($A63,'T&amp;D Capacity'!$B$28:$B$47,FALSE),MATCH(EDC_NAME,'T&amp;D Capacity'!$E$27:$K$27,FALSE))),0)</f>
        <v>9.5835004846843326</v>
      </c>
      <c r="M63" s="15">
        <f>IFERROR(IF(VALUE(RIGHT($B$55,2))&gt;$A63,0,INDEX('T&amp;D Capacity'!$M$4:$S$23,MATCH($A63,'T&amp;D Capacity'!$B$4:$B$23,FALSE),MATCH(EDC_NAME,'T&amp;D Capacity'!$M$3:$S$3,FALSE))),0)</f>
        <v>62.194589674472809</v>
      </c>
      <c r="N63" s="15">
        <f>IFERROR(IF(VALUE(RIGHT($B$55,2))&gt;$A63,0,INDEX('T&amp;D Capacity'!$M$28:$S$47,MATCH($A63,'T&amp;D Capacity'!$B$28:$B$47,FALSE),MATCH(EDC_NAME,'T&amp;D Capacity'!$M$27:$S$27,FALSE))),0)</f>
        <v>9.0186463743448257</v>
      </c>
      <c r="O63" s="16">
        <f>IFERROR(IF(VALUE(RIGHT($B$55,2))&gt;$A63,0,IFERROR(AVERAGEIF('NG Futures'!$E:$E,$B63,'NG Futures'!$I:$I),"Data Missing")),0)</f>
        <v>3.3679469428694606</v>
      </c>
      <c r="P63" s="320" t="s">
        <v>128</v>
      </c>
    </row>
    <row r="64" spans="1:16" s="50" customFormat="1" ht="15" customHeight="1" x14ac:dyDescent="0.2">
      <c r="A64" s="124">
        <f t="shared" si="4"/>
        <v>23</v>
      </c>
      <c r="B64" s="124">
        <f t="shared" si="4"/>
        <v>2032</v>
      </c>
      <c r="C64" s="121">
        <f ca="1">IFERROR(IF(VALUE(RIGHT($B$55,2))&gt;$A64,0,AVERAGEIFS(Elec_On_Peak, 'Avoided AC'!$D:$D, $B64, 'Avoided AC'!$E:$E, "Summer") +
        INDEX(AEPS!$S$8:$S$37, MATCH($A64, 'General Inputs'!$F$3:$F$32, 0)) +
        OFFSET(DRIPE!$I$10, MATCH('LI Output'!$B64, DRIPE!$I$11:$I$30, 0), MATCH('LI Output'!$B$55, DRIPE!$J$10:$N$10, 0), 1, 1) +
        INDEX(Arrearages!C$5:J$24, MATCH($A64, Arrearages!$B$5:$B$24, 0), MATCH('General Inputs'!$C$2, Arrearages!$C$4:$J$4, 0))),"Data Missing")</f>
        <v>124.75284983313784</v>
      </c>
      <c r="D64" s="15">
        <f ca="1">IFERROR(IF(VALUE(RIGHT($B$55,2))&gt;$A64,0,AVERAGEIFS(Elec_Off_Peak, 'Avoided AC'!$D:$D, $B64, 'Avoided AC'!$E:$E, "Summer") +
        INDEX(AEPS!$S$8:$S$37, MATCH($A64, 'General Inputs'!$F$3:$F$32, 0)) +
        OFFSET(DRIPE!$I$10, MATCH('LI Output'!$B64, DRIPE!$I$11:$I$30, 0), MATCH('LI Output'!$B$55, DRIPE!$J$10:$N$10, 0), 1, 1) +
        INDEX(Arrearages!C$5:J$24, MATCH($A64, Arrearages!$B$5:$B$24, 0), MATCH('General Inputs'!$C$2, Arrearages!$C$4:$J$4, 0))),"Data Missing")</f>
        <v>94.84858701430089</v>
      </c>
      <c r="E64" s="15">
        <f ca="1">IFERROR(IF(VALUE(RIGHT($B$55,2))&gt;$A64,0,AVERAGEIFS(Elec_On_Peak, 'Avoided AC'!$D:$D, $B64, 'Avoided AC'!$E:$E, "Winter") +
        INDEX(AEPS!$S$8:$S$37, MATCH($A64, 'General Inputs'!$F$3:$F$32, 0)) +
        OFFSET(DRIPE!$I$10, MATCH('LI Output'!$B64, DRIPE!$I$11:$I$30, 0), MATCH('LI Output'!$B$55, DRIPE!$J$10:$N$10, 0), 1, 1) +
        INDEX(Arrearages!C$5:J$24, MATCH($A64, Arrearages!$B$5:$B$24, 0), MATCH('General Inputs'!$C$2, Arrearages!$C$4:$J$4, 0))),"Data Missing")</f>
        <v>134.61595580353338</v>
      </c>
      <c r="F64" s="15">
        <f ca="1">IFERROR(IF(VALUE(RIGHT($B$55,2))&gt;$A64,0,AVERAGEIFS(Elec_Off_Peak, 'Avoided AC'!$D:$D, $B64, 'Avoided AC'!$E:$E, "Winter") +
        INDEX(AEPS!$S$8:$S$37, MATCH($A64, 'General Inputs'!$F$3:$F$32, 0)) +
        OFFSET(DRIPE!$I$10, MATCH('LI Output'!$B64, DRIPE!$I$11:$I$30, 0), MATCH('LI Output'!$B$55, DRIPE!$J$10:$N$10, 0), 1, 1) +
        INDEX(Arrearages!C$5:J$24, MATCH($A64, Arrearages!$B$5:$B$24, 0), MATCH('General Inputs'!$C$2, Arrearages!$C$4:$J$4, 0))),"Data Missing")</f>
        <v>121.75742296956091</v>
      </c>
      <c r="G64" s="15">
        <f ca="1">IFERROR(IF(VALUE(RIGHT($B$55,2))&gt;$A64,0,AVERAGEIFS(Elec_On_Peak, 'Avoided AC'!$D:$D, $B64, 'Avoided AC'!$E:$E, "Shoulder") +
        INDEX(AEPS!$S$8:$S$37, MATCH($A64, 'General Inputs'!$F$3:$F$32, 0)) +
        OFFSET(DRIPE!$I$10, MATCH('LI Output'!$B64, DRIPE!$I$11:$I$30, 0), MATCH('LI Output'!$B$55, DRIPE!$J$10:$N$10, 0), 1, 1) +
        INDEX(Arrearages!C$5:J$24, MATCH($A64, Arrearages!$B$5:$B$24, 0), MATCH('General Inputs'!$C$2, Arrearages!$C$4:$J$4, 0))),"Data Missing")</f>
        <v>111.38516814308255</v>
      </c>
      <c r="H64" s="15">
        <f ca="1">IFERROR(IF(VALUE(RIGHT($B$55,2))&gt;$A64,0,AVERAGEIFS(Elec_Off_Peak, 'Avoided AC'!$D:$D, $B64, 'Avoided AC'!$E:$E, "Shoulder") +
        INDEX(AEPS!$S$8:$S$37, MATCH($A64, 'General Inputs'!$F$3:$F$32, 0)) +
        OFFSET(DRIPE!$I$10, MATCH('LI Output'!$B64, DRIPE!$I$11:$I$30, 0), MATCH('LI Output'!$B$55, DRIPE!$J$10:$N$10, 0), 1, 1) +
        INDEX(Arrearages!C$5:J$24, MATCH($A64, Arrearages!$B$5:$B$24, 0), MATCH('General Inputs'!$C$2, Arrearages!$C$4:$J$4, 0))),"Data Missing")</f>
        <v>98.636622815072542</v>
      </c>
      <c r="I64" s="15">
        <f ca="1">(IF(VALUE(RIGHT($B$55,2))&gt;$A64,0,INDEX('Generation Capacity'!$E$27:$K$48,MATCH($A64,'Generation Capacity'!$B$27:$B$48,FALSE),MATCH(EDC_NAME,'Generation Capacity'!$E$26:$K$26,FALSE))+
        OFFSET(DRIPE!$B$35,MATCH('LI Output'!$B64,DRIPE!$B$11:$B$30,0),MATCH('LI Output'!$B$55,DRIPE!$C$10:$G$10,0),1,1)))</f>
        <v>42.034799660168403</v>
      </c>
      <c r="J64" s="15">
        <f ca="1">(IF(VALUE(RIGHT($B$55,2))&gt;$A64,0,INDEX('Generation Capacity'!$E$27:$K$48,MATCH($A64,'Generation Capacity'!$B$27:$B$48,FALSE),MATCH(EDC_NAME,'Generation Capacity'!$E$26:$K$26,FALSE))+
        OFFSET(DRIPE!$I$35,MATCH('LI Output'!$B64,DRIPE!$B$11:$B$30,0),MATCH('LI Output'!$B$55,DRIPE!$C$10:$G$10,0),1,1)))</f>
        <v>42.034799660168403</v>
      </c>
      <c r="K64" s="15">
        <f ca="1">IFERROR(IF(VALUE(RIGHT($B$55,2))&gt;$A64,0,INDEX('T&amp;D Capacity'!$E$4:$K$23,MATCH($A64,'T&amp;D Capacity'!$B$4:$B$23,FALSE),MATCH(EDC_NAME,'T&amp;D Capacity'!$E$3:$K$3,FALSE))),0)</f>
        <v>9.7820268534975199</v>
      </c>
      <c r="L64" s="15">
        <f ca="1">IFERROR(IF(VALUE(RIGHT($B$55,2))&gt;$A64,0,INDEX('T&amp;D Capacity'!$E$28:$K$47,MATCH($A64,'T&amp;D Capacity'!$B$28:$B$47,FALSE),MATCH(EDC_NAME,'T&amp;D Capacity'!$E$27:$K$27,FALSE))),0)</f>
        <v>9.7820268534975199</v>
      </c>
      <c r="M64" s="15">
        <f ca="1">IFERROR(IF(VALUE(RIGHT($B$55,2))&gt;$A64,0,INDEX('T&amp;D Capacity'!$M$4:$S$23,MATCH($A64,'T&amp;D Capacity'!$B$4:$B$23,FALSE),MATCH(EDC_NAME,'T&amp;D Capacity'!$M$3:$S$3,FALSE))),0)</f>
        <v>63.482977572781131</v>
      </c>
      <c r="N64" s="15">
        <f ca="1">IFERROR(IF(VALUE(RIGHT($B$55,2))&gt;$A64,0,INDEX('T&amp;D Capacity'!$M$28:$S$47,MATCH($A64,'T&amp;D Capacity'!$B$28:$B$47,FALSE),MATCH(EDC_NAME,'T&amp;D Capacity'!$M$27:$S$27,FALSE))),0)</f>
        <v>9.2054715452904787</v>
      </c>
      <c r="O64" s="16">
        <f>IFERROR(IF(VALUE(RIGHT($B$55,2))&gt;$A64,0,IFERROR(AVERAGEIF('NG Futures'!$E:$E,$B64,'NG Futures'!$I:$I),"Data Missing")),0)</f>
        <v>3.4331546501092309</v>
      </c>
      <c r="P64" s="321"/>
    </row>
    <row r="65" spans="1:16" s="50" customFormat="1" ht="15" customHeight="1" x14ac:dyDescent="0.2">
      <c r="A65" s="124">
        <f t="shared" si="4"/>
        <v>24</v>
      </c>
      <c r="B65" s="124">
        <f t="shared" si="4"/>
        <v>2033</v>
      </c>
      <c r="C65" s="121">
        <f ca="1">IFERROR(IF(VALUE(RIGHT($B$55,2))&gt;$A65,0,AVERAGEIFS(Elec_On_Peak, 'Avoided AC'!$D:$D, $B65, 'Avoided AC'!$E:$E, "Summer") +
        INDEX(AEPS!$S$8:$S$37, MATCH($A65, 'General Inputs'!$F$3:$F$32, 0)) +
        OFFSET(DRIPE!$I$10, MATCH('LI Output'!$B65, DRIPE!$I$11:$I$30, 0), MATCH('LI Output'!$B$55, DRIPE!$J$10:$N$10, 0), 1, 1) +
        INDEX(Arrearages!C$5:J$24, MATCH($A65, Arrearages!$B$5:$B$24, 0), MATCH('General Inputs'!$C$2, Arrearages!$C$4:$J$4, 0))),"Data Missing")</f>
        <v>96.636917803790226</v>
      </c>
      <c r="D65" s="15">
        <f ca="1">IFERROR(IF(VALUE(RIGHT($B$55,2))&gt;$A65,0,AVERAGEIFS(Elec_Off_Peak, 'Avoided AC'!$D:$D, $B65, 'Avoided AC'!$E:$E, "Summer") +
        INDEX(AEPS!$S$8:$S$37, MATCH($A65, 'General Inputs'!$F$3:$F$32, 0)) +
        OFFSET(DRIPE!$I$10, MATCH('LI Output'!$B65, DRIPE!$I$11:$I$30, 0), MATCH('LI Output'!$B$55, DRIPE!$J$10:$N$10, 0), 1, 1) +
        INDEX(Arrearages!C$5:J$24, MATCH($A65, Arrearages!$B$5:$B$24, 0), MATCH('General Inputs'!$C$2, Arrearages!$C$4:$J$4, 0))),"Data Missing")</f>
        <v>66.037646911223746</v>
      </c>
      <c r="E65" s="15">
        <f ca="1">IFERROR(IF(VALUE(RIGHT($B$55,2))&gt;$A65,0,AVERAGEIFS(Elec_On_Peak, 'Avoided AC'!$D:$D, $B65, 'Avoided AC'!$E:$E, "Winter") +
        INDEX(AEPS!$S$8:$S$37, MATCH($A65, 'General Inputs'!$F$3:$F$32, 0)) +
        OFFSET(DRIPE!$I$10, MATCH('LI Output'!$B65, DRIPE!$I$11:$I$30, 0), MATCH('LI Output'!$B$55, DRIPE!$J$10:$N$10, 0), 1, 1) +
        INDEX(Arrearages!C$5:J$24, MATCH($A65, Arrearages!$B$5:$B$24, 0), MATCH('General Inputs'!$C$2, Arrearages!$C$4:$J$4, 0))),"Data Missing")</f>
        <v>108.46263524538669</v>
      </c>
      <c r="F65" s="15">
        <f ca="1">IFERROR(IF(VALUE(RIGHT($B$55,2))&gt;$A65,0,AVERAGEIFS(Elec_Off_Peak, 'Avoided AC'!$D:$D, $B65, 'Avoided AC'!$E:$E, "Winter") +
        INDEX(AEPS!$S$8:$S$37, MATCH($A65, 'General Inputs'!$F$3:$F$32, 0)) +
        OFFSET(DRIPE!$I$10, MATCH('LI Output'!$B65, DRIPE!$I$11:$I$30, 0), MATCH('LI Output'!$B$55, DRIPE!$J$10:$N$10, 0), 1, 1) +
        INDEX(Arrearages!C$5:J$24, MATCH($A65, Arrearages!$B$5:$B$24, 0), MATCH('General Inputs'!$C$2, Arrearages!$C$4:$J$4, 0))),"Data Missing")</f>
        <v>94.298069152543803</v>
      </c>
      <c r="G65" s="15">
        <f ca="1">IFERROR(IF(VALUE(RIGHT($B$55,2))&gt;$A65,0,AVERAGEIFS(Elec_On_Peak, 'Avoided AC'!$D:$D, $B65, 'Avoided AC'!$E:$E, "Shoulder") +
        INDEX(AEPS!$S$8:$S$37, MATCH($A65, 'General Inputs'!$F$3:$F$32, 0)) +
        OFFSET(DRIPE!$I$10, MATCH('LI Output'!$B65, DRIPE!$I$11:$I$30, 0), MATCH('LI Output'!$B$55, DRIPE!$J$10:$N$10, 0), 1, 1) +
        INDEX(Arrearages!C$5:J$24, MATCH($A65, Arrearages!$B$5:$B$24, 0), MATCH('General Inputs'!$C$2, Arrearages!$C$4:$J$4, 0))),"Data Missing")</f>
        <v>83.297070539605855</v>
      </c>
      <c r="H65" s="15">
        <f ca="1">IFERROR(IF(VALUE(RIGHT($B$55,2))&gt;$A65,0,AVERAGEIFS(Elec_Off_Peak, 'Avoided AC'!$D:$D, $B65, 'Avoided AC'!$E:$E, "Shoulder") +
        INDEX(AEPS!$S$8:$S$37, MATCH($A65, 'General Inputs'!$F$3:$F$32, 0)) +
        OFFSET(DRIPE!$I$10, MATCH('LI Output'!$B65, DRIPE!$I$11:$I$30, 0), MATCH('LI Output'!$B$55, DRIPE!$J$10:$N$10, 0), 1, 1) +
        INDEX(Arrearages!C$5:J$24, MATCH($A65, Arrearages!$B$5:$B$24, 0), MATCH('General Inputs'!$C$2, Arrearages!$C$4:$J$4, 0))),"Data Missing")</f>
        <v>69.844851370101978</v>
      </c>
      <c r="I65" s="15">
        <f ca="1">(IF(VALUE(RIGHT($B$55,2))&gt;$A65,0,INDEX('Generation Capacity'!$E$27:$K$48,MATCH($A65,'Generation Capacity'!$B$27:$B$48,FALSE),MATCH(EDC_NAME,'Generation Capacity'!$E$26:$K$26,FALSE))+
        OFFSET(DRIPE!$B$35,MATCH('LI Output'!$B65,DRIPE!$B$11:$B$30,0),MATCH('LI Output'!$B$55,DRIPE!$C$10:$G$10,0),1,1)))</f>
        <v>28.799281471618873</v>
      </c>
      <c r="J65" s="15">
        <f ca="1">(IF(VALUE(RIGHT($B$55,2))&gt;$A65,0,INDEX('Generation Capacity'!$E$27:$K$48,MATCH($A65,'Generation Capacity'!$B$27:$B$48,FALSE),MATCH(EDC_NAME,'Generation Capacity'!$E$26:$K$26,FALSE))+
        OFFSET(DRIPE!$I$35,MATCH('LI Output'!$B65,DRIPE!$B$11:$B$30,0),MATCH('LI Output'!$B$55,DRIPE!$C$10:$G$10,0),1,1)))</f>
        <v>28.799281471618873</v>
      </c>
      <c r="K65" s="15">
        <f ca="1">IFERROR(IF(VALUE(RIGHT($B$55,2))&gt;$A65,0,INDEX('T&amp;D Capacity'!$E$4:$K$23,MATCH($A65,'T&amp;D Capacity'!$B$4:$B$23,FALSE),MATCH(EDC_NAME,'T&amp;D Capacity'!$E$3:$K$3,FALSE))),0)</f>
        <v>9.9846657821396683</v>
      </c>
      <c r="L65" s="15">
        <f ca="1">IFERROR(IF(VALUE(RIGHT($B$55,2))&gt;$A65,0,INDEX('T&amp;D Capacity'!$E$28:$K$47,MATCH($A65,'T&amp;D Capacity'!$B$28:$B$47,FALSE),MATCH(EDC_NAME,'T&amp;D Capacity'!$E$27:$K$27,FALSE))),0)</f>
        <v>9.9846657821396683</v>
      </c>
      <c r="M65" s="15">
        <f ca="1">IFERROR(IF(VALUE(RIGHT($B$55,2))&gt;$A65,0,INDEX('T&amp;D Capacity'!$M$4:$S$23,MATCH($A65,'T&amp;D Capacity'!$B$4:$B$23,FALSE),MATCH(EDC_NAME,'T&amp;D Capacity'!$M$3:$S$3,FALSE))),0)</f>
        <v>64.798054985164484</v>
      </c>
      <c r="N65" s="15">
        <f ca="1">IFERROR(IF(VALUE(RIGHT($B$55,2))&gt;$A65,0,INDEX('T&amp;D Capacity'!$M$28:$S$47,MATCH($A65,'T&amp;D Capacity'!$B$28:$B$47,FALSE),MATCH(EDC_NAME,'T&amp;D Capacity'!$M$27:$S$27,FALSE))),0)</f>
        <v>9.396166880676569</v>
      </c>
      <c r="O65" s="16">
        <f>IFERROR(IF(VALUE(RIGHT($B$55,2))&gt;$A65,0,IFERROR(AVERAGEIF('NG Futures'!$E:$E,$B65,'NG Futures'!$I:$I),"Data Missing")),0)</f>
        <v>3.6808695479745581</v>
      </c>
      <c r="P65" s="321"/>
    </row>
    <row r="66" spans="1:16" s="50" customFormat="1" ht="15" customHeight="1" x14ac:dyDescent="0.2">
      <c r="A66" s="124">
        <f t="shared" si="4"/>
        <v>25</v>
      </c>
      <c r="B66" s="124">
        <f t="shared" si="4"/>
        <v>2034</v>
      </c>
      <c r="C66" s="121">
        <f ca="1">IFERROR(IF(VALUE(RIGHT($B$55,2))&gt;$A66,0,AVERAGEIFS(Elec_On_Peak, 'Avoided AC'!$D:$D, $B66, 'Avoided AC'!$E:$E, "Summer") +
        INDEX(AEPS!$S$8:$S$37, MATCH($A66, 'General Inputs'!$F$3:$F$32, 0)) +
        OFFSET(DRIPE!$I$10, MATCH('LI Output'!$B66, DRIPE!$I$11:$I$30, 0), MATCH('LI Output'!$B$55, DRIPE!$J$10:$N$10, 0), 1, 1) +
        INDEX(Arrearages!C$5:J$24, MATCH($A66, Arrearages!$B$5:$B$24, 0), MATCH('General Inputs'!$C$2, Arrearages!$C$4:$J$4, 0))),"Data Missing")</f>
        <v>99.933740244154734</v>
      </c>
      <c r="D66" s="15">
        <f ca="1">IFERROR(IF(VALUE(RIGHT($B$55,2))&gt;$A66,0,AVERAGEIFS(Elec_Off_Peak, 'Avoided AC'!$D:$D, $B66, 'Avoided AC'!$E:$E, "Summer") +
        INDEX(AEPS!$S$8:$S$37, MATCH($A66, 'General Inputs'!$F$3:$F$32, 0)) +
        OFFSET(DRIPE!$I$10, MATCH('LI Output'!$B66, DRIPE!$I$11:$I$30, 0), MATCH('LI Output'!$B$55, DRIPE!$J$10:$N$10, 0), 1, 1) +
        INDEX(Arrearages!C$5:J$24, MATCH($A66, Arrearages!$B$5:$B$24, 0), MATCH('General Inputs'!$C$2, Arrearages!$C$4:$J$4, 0))),"Data Missing")</f>
        <v>68.483259297638241</v>
      </c>
      <c r="E66" s="15">
        <f ca="1">IFERROR(IF(VALUE(RIGHT($B$55,2))&gt;$A66,0,AVERAGEIFS(Elec_On_Peak, 'Avoided AC'!$D:$D, $B66, 'Avoided AC'!$E:$E, "Winter") +
        INDEX(AEPS!$S$8:$S$37, MATCH($A66, 'General Inputs'!$F$3:$F$32, 0)) +
        OFFSET(DRIPE!$I$10, MATCH('LI Output'!$B66, DRIPE!$I$11:$I$30, 0), MATCH('LI Output'!$B$55, DRIPE!$J$10:$N$10, 0), 1, 1) +
        INDEX(Arrearages!C$5:J$24, MATCH($A66, Arrearages!$B$5:$B$24, 0), MATCH('General Inputs'!$C$2, Arrearages!$C$4:$J$4, 0))),"Data Missing")</f>
        <v>114.2624055092225</v>
      </c>
      <c r="F66" s="15">
        <f ca="1">IFERROR(IF(VALUE(RIGHT($B$55,2))&gt;$A66,0,AVERAGEIFS(Elec_Off_Peak, 'Avoided AC'!$D:$D, $B66, 'Avoided AC'!$E:$E, "Winter") +
        INDEX(AEPS!$S$8:$S$37, MATCH($A66, 'General Inputs'!$F$3:$F$32, 0)) +
        OFFSET(DRIPE!$I$10, MATCH('LI Output'!$B66, DRIPE!$I$11:$I$30, 0), MATCH('LI Output'!$B$55, DRIPE!$J$10:$N$10, 0), 1, 1) +
        INDEX(Arrearages!C$5:J$24, MATCH($A66, Arrearages!$B$5:$B$24, 0), MATCH('General Inputs'!$C$2, Arrearages!$C$4:$J$4, 0))),"Data Missing")</f>
        <v>98.467379786201107</v>
      </c>
      <c r="G66" s="15">
        <f ca="1">IFERROR(IF(VALUE(RIGHT($B$55,2))&gt;$A66,0,AVERAGEIFS(Elec_On_Peak, 'Avoided AC'!$D:$D, $B66, 'Avoided AC'!$E:$E, "Shoulder") +
        INDEX(AEPS!$S$8:$S$37, MATCH($A66, 'General Inputs'!$F$3:$F$32, 0)) +
        OFFSET(DRIPE!$I$10, MATCH('LI Output'!$B66, DRIPE!$I$11:$I$30, 0), MATCH('LI Output'!$B$55, DRIPE!$J$10:$N$10, 0), 1, 1) +
        INDEX(Arrearages!C$5:J$24, MATCH($A66, Arrearages!$B$5:$B$24, 0), MATCH('General Inputs'!$C$2, Arrearages!$C$4:$J$4, 0))),"Data Missing")</f>
        <v>86.917843978920246</v>
      </c>
      <c r="H66" s="15">
        <f ca="1">IFERROR(IF(VALUE(RIGHT($B$55,2))&gt;$A66,0,AVERAGEIFS(Elec_Off_Peak, 'Avoided AC'!$D:$D, $B66, 'Avoided AC'!$E:$E, "Shoulder") +
        INDEX(AEPS!$S$8:$S$37, MATCH($A66, 'General Inputs'!$F$3:$F$32, 0)) +
        OFFSET(DRIPE!$I$10, MATCH('LI Output'!$B66, DRIPE!$I$11:$I$30, 0), MATCH('LI Output'!$B$55, DRIPE!$J$10:$N$10, 0), 1, 1) +
        INDEX(Arrearages!C$5:J$24, MATCH($A66, Arrearages!$B$5:$B$24, 0), MATCH('General Inputs'!$C$2, Arrearages!$C$4:$J$4, 0))),"Data Missing")</f>
        <v>72.513558206926561</v>
      </c>
      <c r="I66" s="15">
        <f ca="1">(IF(VALUE(RIGHT($B$55,2))&gt;$A66,0,INDEX('Generation Capacity'!$E$27:$K$48,MATCH($A66,'Generation Capacity'!$B$27:$B$48,FALSE),MATCH(EDC_NAME,'Generation Capacity'!$E$26:$K$26,FALSE))+
        OFFSET(DRIPE!$B$35,MATCH('LI Output'!$B66,DRIPE!$B$11:$B$30,0),MATCH('LI Output'!$B$55,DRIPE!$C$10:$G$10,0),1,1)))</f>
        <v>29.395871077277739</v>
      </c>
      <c r="J66" s="15">
        <f ca="1">(IF(VALUE(RIGHT($B$55,2))&gt;$A66,0,INDEX('Generation Capacity'!$E$27:$K$48,MATCH($A66,'Generation Capacity'!$B$27:$B$48,FALSE),MATCH(EDC_NAME,'Generation Capacity'!$E$26:$K$26,FALSE))+
        OFFSET(DRIPE!$I$35,MATCH('LI Output'!$B66,DRIPE!$B$11:$B$30,0),MATCH('LI Output'!$B$55,DRIPE!$C$10:$G$10,0),1,1)))</f>
        <v>29.395871077277739</v>
      </c>
      <c r="K66" s="15">
        <f ca="1">IFERROR(IF(VALUE(RIGHT($B$55,2))&gt;$A66,0,INDEX('T&amp;D Capacity'!$E$4:$K$23,MATCH($A66,'T&amp;D Capacity'!$B$4:$B$23,FALSE),MATCH(EDC_NAME,'T&amp;D Capacity'!$E$3:$K$3,FALSE))),0)</f>
        <v>10.191502464071213</v>
      </c>
      <c r="L66" s="15">
        <f ca="1">IFERROR(IF(VALUE(RIGHT($B$55,2))&gt;$A66,0,INDEX('T&amp;D Capacity'!$E$28:$K$47,MATCH($A66,'T&amp;D Capacity'!$B$28:$B$47,FALSE),MATCH(EDC_NAME,'T&amp;D Capacity'!$E$27:$K$27,FALSE))),0)</f>
        <v>10.191502464071213</v>
      </c>
      <c r="M66" s="15">
        <f ca="1">IFERROR(IF(VALUE(RIGHT($B$55,2))&gt;$A66,0,INDEX('T&amp;D Capacity'!$M$4:$S$23,MATCH($A66,'T&amp;D Capacity'!$B$4:$B$23,FALSE),MATCH(EDC_NAME,'T&amp;D Capacity'!$M$3:$S$3,FALSE))),0)</f>
        <v>66.140374796481908</v>
      </c>
      <c r="N66" s="15">
        <f ca="1">IFERROR(IF(VALUE(RIGHT($B$55,2))&gt;$A66,0,INDEX('T&amp;D Capacity'!$M$28:$S$47,MATCH($A66,'T&amp;D Capacity'!$B$28:$B$47,FALSE),MATCH(EDC_NAME,'T&amp;D Capacity'!$M$27:$S$27,FALSE))),0)</f>
        <v>9.5908125526379333</v>
      </c>
      <c r="O66" s="16">
        <f>IFERROR(IF(VALUE(RIGHT($B$55,2))&gt;$A66,0,IFERROR(AVERAGEIF('NG Futures'!$E:$E,$B66,'NG Futures'!$I:$I),"Data Missing")),0)</f>
        <v>3.9952671302460749</v>
      </c>
      <c r="P66" s="321"/>
    </row>
    <row r="67" spans="1:16" s="50" customFormat="1" ht="15" customHeight="1" x14ac:dyDescent="0.2">
      <c r="A67" s="124">
        <f t="shared" si="4"/>
        <v>26</v>
      </c>
      <c r="B67" s="124">
        <f t="shared" si="4"/>
        <v>2035</v>
      </c>
      <c r="C67" s="121">
        <f ca="1">IFERROR(IF(VALUE(RIGHT($B$55,2))&gt;$A67,0,AVERAGEIFS(Elec_On_Peak, 'Avoided AC'!$D:$D, $B67, 'Avoided AC'!$E:$E, "Summer") +
        INDEX(AEPS!$S$8:$S$37, MATCH($A67, 'General Inputs'!$F$3:$F$32, 0)) +
        OFFSET(DRIPE!$I$10, MATCH('LI Output'!$B67, DRIPE!$I$11:$I$30, 0), MATCH('LI Output'!$B$55, DRIPE!$J$10:$N$10, 0), 1, 1) +
        INDEX(Arrearages!C$5:J$24, MATCH($A67, Arrearages!$B$5:$B$24, 0), MATCH('General Inputs'!$C$2, Arrearages!$C$4:$J$4, 0))),"Data Missing")</f>
        <v>103.13861729669094</v>
      </c>
      <c r="D67" s="15">
        <f ca="1">IFERROR(IF(VALUE(RIGHT($B$55,2))&gt;$A67,0,AVERAGEIFS(Elec_Off_Peak, 'Avoided AC'!$D:$D, $B67, 'Avoided AC'!$E:$E, "Summer") +
        INDEX(AEPS!$S$8:$S$37, MATCH($A67, 'General Inputs'!$F$3:$F$32, 0)) +
        OFFSET(DRIPE!$I$10, MATCH('LI Output'!$B67, DRIPE!$I$11:$I$30, 0), MATCH('LI Output'!$B$55, DRIPE!$J$10:$N$10, 0), 1, 1) +
        INDEX(Arrearages!C$5:J$24, MATCH($A67, Arrearages!$B$5:$B$24, 0), MATCH('General Inputs'!$C$2, Arrearages!$C$4:$J$4, 0))),"Data Missing")</f>
        <v>70.869055878192299</v>
      </c>
      <c r="E67" s="15">
        <f ca="1">IFERROR(IF(VALUE(RIGHT($B$55,2))&gt;$A67,0,AVERAGEIFS(Elec_On_Peak, 'Avoided AC'!$D:$D, $B67, 'Avoided AC'!$E:$E, "Winter") +
        INDEX(AEPS!$S$8:$S$37, MATCH($A67, 'General Inputs'!$F$3:$F$32, 0)) +
        OFFSET(DRIPE!$I$10, MATCH('LI Output'!$B67, DRIPE!$I$11:$I$30, 0), MATCH('LI Output'!$B$55, DRIPE!$J$10:$N$10, 0), 1, 1) +
        INDEX(Arrearages!C$5:J$24, MATCH($A67, Arrearages!$B$5:$B$24, 0), MATCH('General Inputs'!$C$2, Arrearages!$C$4:$J$4, 0))),"Data Missing")</f>
        <v>119.72768821880611</v>
      </c>
      <c r="F67" s="15">
        <f ca="1">IFERROR(IF(VALUE(RIGHT($B$55,2))&gt;$A67,0,AVERAGEIFS(Elec_Off_Peak, 'Avoided AC'!$D:$D, $B67, 'Avoided AC'!$E:$E, "Winter") +
        INDEX(AEPS!$S$8:$S$37, MATCH($A67, 'General Inputs'!$F$3:$F$32, 0)) +
        OFFSET(DRIPE!$I$10, MATCH('LI Output'!$B67, DRIPE!$I$11:$I$30, 0), MATCH('LI Output'!$B$55, DRIPE!$J$10:$N$10, 0), 1, 1) +
        INDEX(Arrearages!C$5:J$24, MATCH($A67, Arrearages!$B$5:$B$24, 0), MATCH('General Inputs'!$C$2, Arrearages!$C$4:$J$4, 0))),"Data Missing")</f>
        <v>102.40984376212525</v>
      </c>
      <c r="G67" s="15">
        <f ca="1">IFERROR(IF(VALUE(RIGHT($B$55,2))&gt;$A67,0,AVERAGEIFS(Elec_On_Peak, 'Avoided AC'!$D:$D, $B67, 'Avoided AC'!$E:$E, "Shoulder") +
        INDEX(AEPS!$S$8:$S$37, MATCH($A67, 'General Inputs'!$F$3:$F$32, 0)) +
        OFFSET(DRIPE!$I$10, MATCH('LI Output'!$B67, DRIPE!$I$11:$I$30, 0), MATCH('LI Output'!$B$55, DRIPE!$J$10:$N$10, 0), 1, 1) +
        INDEX(Arrearages!C$5:J$24, MATCH($A67, Arrearages!$B$5:$B$24, 0), MATCH('General Inputs'!$C$2, Arrearages!$C$4:$J$4, 0))),"Data Missing")</f>
        <v>90.544767853443929</v>
      </c>
      <c r="H67" s="15">
        <f ca="1">IFERROR(IF(VALUE(RIGHT($B$55,2))&gt;$A67,0,AVERAGEIFS(Elec_Off_Peak, 'Avoided AC'!$D:$D, $B67, 'Avoided AC'!$E:$E, "Shoulder") +
        INDEX(AEPS!$S$8:$S$37, MATCH($A67, 'General Inputs'!$F$3:$F$32, 0)) +
        OFFSET(DRIPE!$I$10, MATCH('LI Output'!$B67, DRIPE!$I$11:$I$30, 0), MATCH('LI Output'!$B$55, DRIPE!$J$10:$N$10, 0), 1, 1) +
        INDEX(Arrearages!C$5:J$24, MATCH($A67, Arrearages!$B$5:$B$24, 0), MATCH('General Inputs'!$C$2, Arrearages!$C$4:$J$4, 0))),"Data Missing")</f>
        <v>75.190004620646249</v>
      </c>
      <c r="I67" s="15">
        <f ca="1">(IF(VALUE(RIGHT($B$55,2))&gt;$A67,0,INDEX('Generation Capacity'!$E$27:$K$48,MATCH($A67,'Generation Capacity'!$B$27:$B$48,FALSE),MATCH(EDC_NAME,'Generation Capacity'!$E$26:$K$26,FALSE))+
        OFFSET(DRIPE!$B$35,MATCH('LI Output'!$B67,DRIPE!$B$11:$B$30,0),MATCH('LI Output'!$B$55,DRIPE!$C$10:$G$10,0),1,1)))</f>
        <v>30.004819295353062</v>
      </c>
      <c r="J67" s="15">
        <f ca="1">(IF(VALUE(RIGHT($B$55,2))&gt;$A67,0,INDEX('Generation Capacity'!$E$27:$K$48,MATCH($A67,'Generation Capacity'!$B$27:$B$48,FALSE),MATCH(EDC_NAME,'Generation Capacity'!$E$26:$K$26,FALSE))+
        OFFSET(DRIPE!$I$35,MATCH('LI Output'!$B67,DRIPE!$B$11:$B$30,0),MATCH('LI Output'!$B$55,DRIPE!$C$10:$G$10,0),1,1)))</f>
        <v>30.004819295353062</v>
      </c>
      <c r="K67" s="15">
        <f ca="1">IFERROR(IF(VALUE(RIGHT($B$55,2))&gt;$A67,0,INDEX('T&amp;D Capacity'!$E$4:$K$23,MATCH($A67,'T&amp;D Capacity'!$B$4:$B$23,FALSE),MATCH(EDC_NAME,'T&amp;D Capacity'!$E$3:$K$3,FALSE))),0)</f>
        <v>10.402623857572072</v>
      </c>
      <c r="L67" s="15">
        <f ca="1">IFERROR(IF(VALUE(RIGHT($B$55,2))&gt;$A67,0,INDEX('T&amp;D Capacity'!$E$28:$K$47,MATCH($A67,'T&amp;D Capacity'!$B$28:$B$47,FALSE),MATCH(EDC_NAME,'T&amp;D Capacity'!$E$27:$K$27,FALSE))),0)</f>
        <v>10.402623857572072</v>
      </c>
      <c r="M67" s="15">
        <f ca="1">IFERROR(IF(VALUE(RIGHT($B$55,2))&gt;$A67,0,INDEX('T&amp;D Capacity'!$M$4:$S$23,MATCH($A67,'T&amp;D Capacity'!$B$4:$B$23,FALSE),MATCH(EDC_NAME,'T&amp;D Capacity'!$M$3:$S$3,FALSE))),0)</f>
        <v>67.510501344842098</v>
      </c>
      <c r="N67" s="15">
        <f ca="1">IFERROR(IF(VALUE(RIGHT($B$55,2))&gt;$A67,0,INDEX('T&amp;D Capacity'!$M$28:$S$47,MATCH($A67,'T&amp;D Capacity'!$B$28:$B$47,FALSE),MATCH(EDC_NAME,'T&amp;D Capacity'!$M$27:$S$27,FALSE))),0)</f>
        <v>9.7894903941099525</v>
      </c>
      <c r="O67" s="16">
        <f>IFERROR(IF(VALUE(RIGHT($B$55,2))&gt;$A67,0,IFERROR(AVERAGEIF('NG Futures'!$E:$E,$B67,'NG Futures'!$I:$I),"Data Missing")),0)</f>
        <v>4.297775585014695</v>
      </c>
      <c r="P67" s="321"/>
    </row>
    <row r="68" spans="1:16" s="50" customFormat="1" ht="15" customHeight="1" x14ac:dyDescent="0.2">
      <c r="A68" s="124">
        <f t="shared" si="4"/>
        <v>27</v>
      </c>
      <c r="B68" s="124">
        <f t="shared" si="4"/>
        <v>2036</v>
      </c>
      <c r="C68" s="121">
        <f ca="1">IFERROR(IF(VALUE(RIGHT($B$55,2))&gt;$A68,0,AVERAGEIFS(Elec_On_Peak, 'Avoided AC'!$D:$D, $B68, 'Avoided AC'!$E:$E, "Summer") +
        INDEX(AEPS!$S$8:$S$37, MATCH($A68, 'General Inputs'!$F$3:$F$32, 0)) +
        OFFSET(DRIPE!$I$10, MATCH('LI Output'!$B68, DRIPE!$I$11:$I$30, 0), MATCH('LI Output'!$B$55, DRIPE!$J$10:$N$10, 0), 1, 1) +
        INDEX(Arrearages!C$5:J$24, MATCH($A68, Arrearages!$B$5:$B$24, 0), MATCH('General Inputs'!$C$2, Arrearages!$C$4:$J$4, 0))),"Data Missing")</f>
        <v>106.14802988415305</v>
      </c>
      <c r="D68" s="15">
        <f ca="1">IFERROR(IF(VALUE(RIGHT($B$55,2))&gt;$A68,0,AVERAGEIFS(Elec_Off_Peak, 'Avoided AC'!$D:$D, $B68, 'Avoided AC'!$E:$E, "Summer") +
        INDEX(AEPS!$S$8:$S$37, MATCH($A68, 'General Inputs'!$F$3:$F$32, 0)) +
        OFFSET(DRIPE!$I$10, MATCH('LI Output'!$B68, DRIPE!$I$11:$I$30, 0), MATCH('LI Output'!$B$55, DRIPE!$J$10:$N$10, 0), 1, 1) +
        INDEX(Arrearages!C$5:J$24, MATCH($A68, Arrearages!$B$5:$B$24, 0), MATCH('General Inputs'!$C$2, Arrearages!$C$4:$J$4, 0))),"Data Missing")</f>
        <v>73.12381653192368</v>
      </c>
      <c r="E68" s="15">
        <f ca="1">IFERROR(IF(VALUE(RIGHT($B$55,2))&gt;$A68,0,AVERAGEIFS(Elec_On_Peak, 'Avoided AC'!$D:$D, $B68, 'Avoided AC'!$E:$E, "Winter") +
        INDEX(AEPS!$S$8:$S$37, MATCH($A68, 'General Inputs'!$F$3:$F$32, 0)) +
        OFFSET(DRIPE!$I$10, MATCH('LI Output'!$B68, DRIPE!$I$11:$I$30, 0), MATCH('LI Output'!$B$55, DRIPE!$J$10:$N$10, 0), 1, 1) +
        INDEX(Arrearages!C$5:J$24, MATCH($A68, Arrearages!$B$5:$B$24, 0), MATCH('General Inputs'!$C$2, Arrearages!$C$4:$J$4, 0))),"Data Missing")</f>
        <v>124.71159132922962</v>
      </c>
      <c r="F68" s="15">
        <f ca="1">IFERROR(IF(VALUE(RIGHT($B$55,2))&gt;$A68,0,AVERAGEIFS(Elec_Off_Peak, 'Avoided AC'!$D:$D, $B68, 'Avoided AC'!$E:$E, "Winter") +
        INDEX(AEPS!$S$8:$S$37, MATCH($A68, 'General Inputs'!$F$3:$F$32, 0)) +
        OFFSET(DRIPE!$I$10, MATCH('LI Output'!$B68, DRIPE!$I$11:$I$30, 0), MATCH('LI Output'!$B$55, DRIPE!$J$10:$N$10, 0), 1, 1) +
        INDEX(Arrearages!C$5:J$24, MATCH($A68, Arrearages!$B$5:$B$24, 0), MATCH('General Inputs'!$C$2, Arrearages!$C$4:$J$4, 0))),"Data Missing")</f>
        <v>106.02437141607557</v>
      </c>
      <c r="G68" s="15">
        <f ca="1">IFERROR(IF(VALUE(RIGHT($B$55,2))&gt;$A68,0,AVERAGEIFS(Elec_On_Peak, 'Avoided AC'!$D:$D, $B68, 'Avoided AC'!$E:$E, "Shoulder") +
        INDEX(AEPS!$S$8:$S$37, MATCH($A68, 'General Inputs'!$F$3:$F$32, 0)) +
        OFFSET(DRIPE!$I$10, MATCH('LI Output'!$B68, DRIPE!$I$11:$I$30, 0), MATCH('LI Output'!$B$55, DRIPE!$J$10:$N$10, 0), 1, 1) +
        INDEX(Arrearages!C$5:J$24, MATCH($A68, Arrearages!$B$5:$B$24, 0), MATCH('General Inputs'!$C$2, Arrearages!$C$4:$J$4, 0))),"Data Missing")</f>
        <v>93.708604669807769</v>
      </c>
      <c r="H68" s="15">
        <f ca="1">IFERROR(IF(VALUE(RIGHT($B$55,2))&gt;$A68,0,AVERAGEIFS(Elec_Off_Peak, 'Avoided AC'!$D:$D, $B68, 'Avoided AC'!$E:$E, "Shoulder") +
        INDEX(AEPS!$S$8:$S$37, MATCH($A68, 'General Inputs'!$F$3:$F$32, 0)) +
        OFFSET(DRIPE!$I$10, MATCH('LI Output'!$B68, DRIPE!$I$11:$I$30, 0), MATCH('LI Output'!$B$55, DRIPE!$J$10:$N$10, 0), 1, 1) +
        INDEX(Arrearages!C$5:J$24, MATCH($A68, Arrearages!$B$5:$B$24, 0), MATCH('General Inputs'!$C$2, Arrearages!$C$4:$J$4, 0))),"Data Missing")</f>
        <v>77.551112186683838</v>
      </c>
      <c r="I68" s="15">
        <f ca="1">(IF(VALUE(RIGHT($B$55,2))&gt;$A68,0,INDEX('Generation Capacity'!$E$27:$K$48,MATCH($A68,'Generation Capacity'!$B$27:$B$48,FALSE),MATCH(EDC_NAME,'Generation Capacity'!$E$26:$K$26,FALSE))+
        OFFSET(DRIPE!$B$35,MATCH('LI Output'!$B68,DRIPE!$B$11:$B$30,0),MATCH('LI Output'!$B$55,DRIPE!$C$10:$G$10,0),1,1)))</f>
        <v>30.626382139860866</v>
      </c>
      <c r="J68" s="15">
        <f ca="1">(IF(VALUE(RIGHT($B$55,2))&gt;$A68,0,INDEX('Generation Capacity'!$E$27:$K$48,MATCH($A68,'Generation Capacity'!$B$27:$B$48,FALSE),MATCH(EDC_NAME,'Generation Capacity'!$E$26:$K$26,FALSE))+
        OFFSET(DRIPE!$I$35,MATCH('LI Output'!$B68,DRIPE!$B$11:$B$30,0),MATCH('LI Output'!$B$55,DRIPE!$C$10:$G$10,0),1,1)))</f>
        <v>30.626382139860866</v>
      </c>
      <c r="K68" s="15">
        <f ca="1">IFERROR(IF(VALUE(RIGHT($B$55,2))&gt;$A68,0,INDEX('T&amp;D Capacity'!$E$4:$K$23,MATCH($A68,'T&amp;D Capacity'!$B$4:$B$23,FALSE),MATCH(EDC_NAME,'T&amp;D Capacity'!$E$3:$K$3,FALSE))),0)</f>
        <v>10.61811872230064</v>
      </c>
      <c r="L68" s="15">
        <f ca="1">IFERROR(IF(VALUE(RIGHT($B$55,2))&gt;$A68,0,INDEX('T&amp;D Capacity'!$E$28:$K$47,MATCH($A68,'T&amp;D Capacity'!$B$28:$B$47,FALSE),MATCH(EDC_NAME,'T&amp;D Capacity'!$E$27:$K$27,FALSE))),0)</f>
        <v>10.61811872230064</v>
      </c>
      <c r="M68" s="15">
        <f ca="1">IFERROR(IF(VALUE(RIGHT($B$55,2))&gt;$A68,0,INDEX('T&amp;D Capacity'!$M$4:$S$23,MATCH($A68,'T&amp;D Capacity'!$B$4:$B$23,FALSE),MATCH(EDC_NAME,'T&amp;D Capacity'!$M$3:$S$3,FALSE))),0)</f>
        <v>68.909010658862414</v>
      </c>
      <c r="N68" s="15">
        <f ca="1">IFERROR(IF(VALUE(RIGHT($B$55,2))&gt;$A68,0,INDEX('T&amp;D Capacity'!$M$28:$S$47,MATCH($A68,'T&amp;D Capacity'!$B$28:$B$47,FALSE),MATCH(EDC_NAME,'T&amp;D Capacity'!$M$27:$S$27,FALSE))),0)</f>
        <v>9.9922839332327538</v>
      </c>
      <c r="O68" s="16">
        <f>IFERROR(IF(VALUE(RIGHT($B$55,2))&gt;$A68,0,IFERROR(AVERAGEIF('NG Futures'!$E:$E,$B68,'NG Futures'!$I:$I),"Data Missing")),0)</f>
        <v>4.5669539736620006</v>
      </c>
      <c r="P68" s="322"/>
    </row>
    <row r="69" spans="1:16" s="50" customFormat="1" ht="15" customHeight="1" x14ac:dyDescent="0.2">
      <c r="A69" s="124">
        <f t="shared" si="4"/>
        <v>28</v>
      </c>
      <c r="B69" s="124">
        <f t="shared" si="4"/>
        <v>2037</v>
      </c>
      <c r="C69" s="122">
        <f ca="1">IFERROR(IF(VALUE(RIGHT($B$55,2))&gt;$A69,0,AVERAGEIFS(Elec_On_Peak, 'Avoided AC'!$D:$D, $B69, 'Avoided AC'!$E:$E, "Summer") +
        INDEX(AEPS!$S$8:$S$37, MATCH($A69, 'General Inputs'!$F$3:$F$32, 0)) +
        OFFSET(DRIPE!$I$10, MATCH('LI Output'!$B69, DRIPE!$I$11:$I$30, 0), MATCH('LI Output'!$B$55, DRIPE!$J$10:$N$10, 0), 1, 1) +
        INDEX(Arrearages!C$5:J$24, MATCH($A69, Arrearages!$B$5:$B$24, 0), MATCH('General Inputs'!$C$2, Arrearages!$C$4:$J$4, 0))),"Data Missing")</f>
        <v>108.14498023722658</v>
      </c>
      <c r="D69" s="17">
        <f ca="1">IFERROR(IF(VALUE(RIGHT($B$55,2))&gt;$A69,0,AVERAGEIFS(Elec_Off_Peak, 'Avoided AC'!$D:$D, $B69, 'Avoided AC'!$E:$E, "Summer") +
        INDEX(AEPS!$S$8:$S$37, MATCH($A69, 'General Inputs'!$F$3:$F$32, 0)) +
        OFFSET(DRIPE!$I$10, MATCH('LI Output'!$B69, DRIPE!$I$11:$I$30, 0), MATCH('LI Output'!$B$55, DRIPE!$J$10:$N$10, 0), 1, 1) +
        INDEX(Arrearages!C$5:J$24, MATCH($A69, Arrearages!$B$5:$B$24, 0), MATCH('General Inputs'!$C$2, Arrearages!$C$4:$J$4, 0))),"Data Missing")</f>
        <v>74.684973115619727</v>
      </c>
      <c r="E69" s="17">
        <f ca="1">IFERROR(IF(VALUE(RIGHT($B$55,2))&gt;$A69,0,AVERAGEIFS(Elec_On_Peak, 'Avoided AC'!$D:$D, $B69, 'Avoided AC'!$E:$E, "Winter") +
        INDEX(AEPS!$S$8:$S$37, MATCH($A69, 'General Inputs'!$F$3:$F$32, 0)) +
        OFFSET(DRIPE!$I$10, MATCH('LI Output'!$B69, DRIPE!$I$11:$I$30, 0), MATCH('LI Output'!$B$55, DRIPE!$J$10:$N$10, 0), 1, 1) +
        INDEX(Arrearages!C$5:J$24, MATCH($A69, Arrearages!$B$5:$B$24, 0), MATCH('General Inputs'!$C$2, Arrearages!$C$4:$J$4, 0))),"Data Missing")</f>
        <v>128.32637543752634</v>
      </c>
      <c r="F69" s="17">
        <f ca="1">IFERROR(IF(VALUE(RIGHT($B$55,2))&gt;$A69,0,AVERAGEIFS(Elec_Off_Peak, 'Avoided AC'!$D:$D, $B69, 'Avoided AC'!$E:$E, "Winter") +
        INDEX(AEPS!$S$8:$S$37, MATCH($A69, 'General Inputs'!$F$3:$F$32, 0)) +
        OFFSET(DRIPE!$I$10, MATCH('LI Output'!$B69, DRIPE!$I$11:$I$30, 0), MATCH('LI Output'!$B$55, DRIPE!$J$10:$N$10, 0), 1, 1) +
        INDEX(Arrearages!C$5:J$24, MATCH($A69, Arrearages!$B$5:$B$24, 0), MATCH('General Inputs'!$C$2, Arrearages!$C$4:$J$4, 0))),"Data Missing")</f>
        <v>108.69967715704045</v>
      </c>
      <c r="G69" s="17">
        <f ca="1">IFERROR(IF(VALUE(RIGHT($B$55,2))&gt;$A69,0,AVERAGEIFS(Elec_On_Peak, 'Avoided AC'!$D:$D, $B69, 'Avoided AC'!$E:$E, "Shoulder") +
        INDEX(AEPS!$S$8:$S$37, MATCH($A69, 'General Inputs'!$F$3:$F$32, 0)) +
        OFFSET(DRIPE!$I$10, MATCH('LI Output'!$B69, DRIPE!$I$11:$I$30, 0), MATCH('LI Output'!$B$55, DRIPE!$J$10:$N$10, 0), 1, 1) +
        INDEX(Arrearages!C$5:J$24, MATCH($A69, Arrearages!$B$5:$B$24, 0), MATCH('General Inputs'!$C$2, Arrearages!$C$4:$J$4, 0))),"Data Missing")</f>
        <v>95.852726665662999</v>
      </c>
      <c r="H69" s="17">
        <f ca="1">IFERROR(IF(VALUE(RIGHT($B$55,2))&gt;$A69,0,AVERAGEIFS(Elec_Off_Peak, 'Avoided AC'!$D:$D, $B69, 'Avoided AC'!$E:$E, "Shoulder") +
        INDEX(AEPS!$S$8:$S$37, MATCH($A69, 'General Inputs'!$F$3:$F$32, 0)) +
        OFFSET(DRIPE!$I$10, MATCH('LI Output'!$B69, DRIPE!$I$11:$I$30, 0), MATCH('LI Output'!$B$55, DRIPE!$J$10:$N$10, 0), 1, 1) +
        INDEX(Arrearages!C$5:J$24, MATCH($A69, Arrearages!$B$5:$B$24, 0), MATCH('General Inputs'!$C$2, Arrearages!$C$4:$J$4, 0))),"Data Missing")</f>
        <v>79.213621063994552</v>
      </c>
      <c r="I69" s="17">
        <f ca="1">(IF(VALUE(RIGHT($B$55,2))&gt;$A69,0,INDEX('Generation Capacity'!$E$27:$K$48,MATCH($A69,'Generation Capacity'!$B$27:$B$48,FALSE),MATCH(EDC_NAME,'Generation Capacity'!$E$26:$K$26,FALSE))+
        OFFSET(DRIPE!$B$35,MATCH('LI Output'!$B69,DRIPE!$B$11:$B$30,0),MATCH('LI Output'!$B$55,DRIPE!$C$10:$G$10,0),1,1)))</f>
        <v>31.260820928258536</v>
      </c>
      <c r="J69" s="17">
        <f ca="1">(IF(VALUE(RIGHT($B$55,2))&gt;$A69,0,INDEX('Generation Capacity'!$E$27:$K$48,MATCH($A69,'Generation Capacity'!$B$27:$B$48,FALSE),MATCH(EDC_NAME,'Generation Capacity'!$E$26:$K$26,FALSE))+
        OFFSET(DRIPE!$I$35,MATCH('LI Output'!$B69,DRIPE!$B$11:$B$30,0),MATCH('LI Output'!$B$55,DRIPE!$C$10:$G$10,0),1,1)))</f>
        <v>31.260820928258536</v>
      </c>
      <c r="K69" s="17">
        <f ca="1">IFERROR(IF(VALUE(RIGHT($B$55,2))&gt;$A69,0,INDEX('T&amp;D Capacity'!$E$4:$K$23,MATCH($A69,'T&amp;D Capacity'!$B$4:$B$23,FALSE),MATCH(EDC_NAME,'T&amp;D Capacity'!$E$3:$K$3,FALSE))),0)</f>
        <v>10.838077656610132</v>
      </c>
      <c r="L69" s="17">
        <f ca="1">IFERROR(IF(VALUE(RIGHT($B$55,2))&gt;$A69,0,INDEX('T&amp;D Capacity'!$E$28:$K$47,MATCH($A69,'T&amp;D Capacity'!$B$28:$B$47,FALSE),MATCH(EDC_NAME,'T&amp;D Capacity'!$E$27:$K$27,FALSE))),0)</f>
        <v>10.838077656610132</v>
      </c>
      <c r="M69" s="17">
        <f ca="1">IFERROR(IF(VALUE(RIGHT($B$55,2))&gt;$A69,0,INDEX('T&amp;D Capacity'!$M$4:$S$23,MATCH($A69,'T&amp;D Capacity'!$B$4:$B$23,FALSE),MATCH(EDC_NAME,'T&amp;D Capacity'!$M$3:$S$3,FALSE))),0)</f>
        <v>70.336490699842841</v>
      </c>
      <c r="N69" s="17">
        <f ca="1">IFERROR(IF(VALUE(RIGHT($B$55,2))&gt;$A69,0,INDEX('T&amp;D Capacity'!$M$28:$S$47,MATCH($A69,'T&amp;D Capacity'!$B$28:$B$47,FALSE),MATCH(EDC_NAME,'T&amp;D Capacity'!$M$27:$S$27,FALSE))),0)</f>
        <v>10.199278428468112</v>
      </c>
      <c r="O69" s="18">
        <f>IFERROR(IF(VALUE(RIGHT($B$55,2))&gt;$A69,0,IFERROR(AVERAGEIF('NG Futures'!$E:$E,$B69,'NG Futures'!$I:$I),"Data Missing")),0)</f>
        <v>4.7349761155534029</v>
      </c>
      <c r="P69" s="323" t="s">
        <v>129</v>
      </c>
    </row>
    <row r="70" spans="1:16" s="50" customFormat="1" ht="15" customHeight="1" x14ac:dyDescent="0.2">
      <c r="A70" s="124">
        <f t="shared" si="4"/>
        <v>29</v>
      </c>
      <c r="B70" s="124">
        <f t="shared" si="4"/>
        <v>2038</v>
      </c>
      <c r="C70" s="122">
        <f ca="1">IFERROR(IF(VALUE(RIGHT($B$55,2))&gt;$A70,0,AVERAGEIFS(Elec_On_Peak, 'Avoided AC'!$D:$D, $B70, 'Avoided AC'!$E:$E, "Summer") +
        INDEX(AEPS!$S$8:$S$37, MATCH($A70, 'General Inputs'!$F$3:$F$32, 0)) +
        OFFSET(DRIPE!$I$10, MATCH('LI Output'!$B70, DRIPE!$I$11:$I$30, 0), MATCH('LI Output'!$B$55, DRIPE!$J$10:$N$10, 0), 1, 1) +
        INDEX(Arrearages!C$5:J$24, MATCH($A70, Arrearages!$B$5:$B$24, 0), MATCH('General Inputs'!$C$2, Arrearages!$C$4:$J$4, 0))),"Data Missing")</f>
        <v>107.97700169126259</v>
      </c>
      <c r="D70" s="17">
        <f ca="1">IFERROR(IF(VALUE(RIGHT($B$55,2))&gt;$A70,0,AVERAGEIFS(Elec_Off_Peak, 'Avoided AC'!$D:$D, $B70, 'Avoided AC'!$E:$E, "Summer") +
        INDEX(AEPS!$S$8:$S$37, MATCH($A70, 'General Inputs'!$F$3:$F$32, 0)) +
        OFFSET(DRIPE!$I$10, MATCH('LI Output'!$B70, DRIPE!$I$11:$I$30, 0), MATCH('LI Output'!$B$55, DRIPE!$J$10:$N$10, 0), 1, 1) +
        INDEX(Arrearages!C$5:J$24, MATCH($A70, Arrearages!$B$5:$B$24, 0), MATCH('General Inputs'!$C$2, Arrearages!$C$4:$J$4, 0))),"Data Missing")</f>
        <v>74.758932467007128</v>
      </c>
      <c r="E70" s="17">
        <f ca="1">IFERROR(IF(VALUE(RIGHT($B$55,2))&gt;$A70,0,AVERAGEIFS(Elec_On_Peak, 'Avoided AC'!$D:$D, $B70, 'Avoided AC'!$E:$E, "Winter") +
        INDEX(AEPS!$S$8:$S$37, MATCH($A70, 'General Inputs'!$F$3:$F$32, 0)) +
        OFFSET(DRIPE!$I$10, MATCH('LI Output'!$B70, DRIPE!$I$11:$I$30, 0), MATCH('LI Output'!$B$55, DRIPE!$J$10:$N$10, 0), 1, 1) +
        INDEX(Arrearages!C$5:J$24, MATCH($A70, Arrearages!$B$5:$B$24, 0), MATCH('General Inputs'!$C$2, Arrearages!$C$4:$J$4, 0))),"Data Missing")</f>
        <v>127.0446302183162</v>
      </c>
      <c r="F70" s="17">
        <f ca="1">IFERROR(IF(VALUE(RIGHT($B$55,2))&gt;$A70,0,AVERAGEIFS(Elec_Off_Peak, 'Avoided AC'!$D:$D, $B70, 'Avoided AC'!$E:$E, "Winter") +
        INDEX(AEPS!$S$8:$S$37, MATCH($A70, 'General Inputs'!$F$3:$F$32, 0)) +
        OFFSET(DRIPE!$I$10, MATCH('LI Output'!$B70, DRIPE!$I$11:$I$30, 0), MATCH('LI Output'!$B$55, DRIPE!$J$10:$N$10, 0), 1, 1) +
        INDEX(Arrearages!C$5:J$24, MATCH($A70, Arrearages!$B$5:$B$24, 0), MATCH('General Inputs'!$C$2, Arrearages!$C$4:$J$4, 0))),"Data Missing")</f>
        <v>108.00662185294482</v>
      </c>
      <c r="G70" s="17">
        <f ca="1">IFERROR(IF(VALUE(RIGHT($B$55,2))&gt;$A70,0,AVERAGEIFS(Elec_On_Peak, 'Avoided AC'!$D:$D, $B70, 'Avoided AC'!$E:$E, "Shoulder") +
        INDEX(AEPS!$S$8:$S$37, MATCH($A70, 'General Inputs'!$F$3:$F$32, 0)) +
        OFFSET(DRIPE!$I$10, MATCH('LI Output'!$B70, DRIPE!$I$11:$I$30, 0), MATCH('LI Output'!$B$55, DRIPE!$J$10:$N$10, 0), 1, 1) +
        INDEX(Arrearages!C$5:J$24, MATCH($A70, Arrearages!$B$5:$B$24, 0), MATCH('General Inputs'!$C$2, Arrearages!$C$4:$J$4, 0))),"Data Missing")</f>
        <v>95.566735429649896</v>
      </c>
      <c r="H70" s="17">
        <f ca="1">IFERROR(IF(VALUE(RIGHT($B$55,2))&gt;$A70,0,AVERAGEIFS(Elec_Off_Peak, 'Avoided AC'!$D:$D, $B70, 'Avoided AC'!$E:$E, "Shoulder") +
        INDEX(AEPS!$S$8:$S$37, MATCH($A70, 'General Inputs'!$F$3:$F$32, 0)) +
        OFFSET(DRIPE!$I$10, MATCH('LI Output'!$B70, DRIPE!$I$11:$I$30, 0), MATCH('LI Output'!$B$55, DRIPE!$J$10:$N$10, 0), 1, 1) +
        INDEX(Arrearages!C$5:J$24, MATCH($A70, Arrearages!$B$5:$B$24, 0), MATCH('General Inputs'!$C$2, Arrearages!$C$4:$J$4, 0))),"Data Missing")</f>
        <v>79.206308938173123</v>
      </c>
      <c r="I70" s="17">
        <f ca="1">(IF(VALUE(RIGHT($B$55,2))&gt;$A70,0,INDEX('Generation Capacity'!$E$27:$K$48,MATCH($A70,'Generation Capacity'!$B$27:$B$48,FALSE),MATCH(EDC_NAME,'Generation Capacity'!$E$26:$K$26,FALSE))+
        OFFSET(DRIPE!$B$35,MATCH('LI Output'!$B70,DRIPE!$B$11:$B$30,0),MATCH('LI Output'!$B$55,DRIPE!$C$10:$G$10,0),1,1)))</f>
        <v>31.908402391307927</v>
      </c>
      <c r="J70" s="17">
        <f ca="1">(IF(VALUE(RIGHT($B$55,2))&gt;$A70,0,INDEX('Generation Capacity'!$E$27:$K$48,MATCH($A70,'Generation Capacity'!$B$27:$B$48,FALSE),MATCH(EDC_NAME,'Generation Capacity'!$E$26:$K$26,FALSE))+
        OFFSET(DRIPE!$I$35,MATCH('LI Output'!$B70,DRIPE!$B$11:$B$30,0),MATCH('LI Output'!$B$55,DRIPE!$C$10:$G$10,0),1,1)))</f>
        <v>31.908402391307927</v>
      </c>
      <c r="K70" s="17">
        <f ca="1">IFERROR(IF(VALUE(RIGHT($B$55,2))&gt;$A70,0,INDEX('T&amp;D Capacity'!$E$4:$K$23,MATCH($A70,'T&amp;D Capacity'!$B$4:$B$23,FALSE),MATCH(EDC_NAME,'T&amp;D Capacity'!$E$3:$K$3,FALSE))),0)</f>
        <v>11.062593135637941</v>
      </c>
      <c r="L70" s="17">
        <f ca="1">IFERROR(IF(VALUE(RIGHT($B$55,2))&gt;$A70,0,INDEX('T&amp;D Capacity'!$E$28:$K$47,MATCH($A70,'T&amp;D Capacity'!$B$28:$B$47,FALSE),MATCH(EDC_NAME,'T&amp;D Capacity'!$E$27:$K$27,FALSE))),0)</f>
        <v>11.062593135637941</v>
      </c>
      <c r="M70" s="17">
        <f ca="1">IFERROR(IF(VALUE(RIGHT($B$55,2))&gt;$A70,0,INDEX('T&amp;D Capacity'!$M$4:$S$23,MATCH($A70,'T&amp;D Capacity'!$B$4:$B$23,FALSE),MATCH(EDC_NAME,'T&amp;D Capacity'!$M$3:$S$3,FALSE))),0)</f>
        <v>71.793541608956687</v>
      </c>
      <c r="N70" s="17">
        <f ca="1">IFERROR(IF(VALUE(RIGHT($B$55,2))&gt;$A70,0,INDEX('T&amp;D Capacity'!$M$28:$S$47,MATCH($A70,'T&amp;D Capacity'!$B$28:$B$47,FALSE),MATCH(EDC_NAME,'T&amp;D Capacity'!$M$27:$S$27,FALSE))),0)</f>
        <v>10.410560904443814</v>
      </c>
      <c r="O70" s="18">
        <f>IFERROR(IF(VALUE(RIGHT($B$55,2))&gt;$A70,0,IFERROR(AVERAGEIF('NG Futures'!$E:$E,$B70,'NG Futures'!$I:$I),"Data Missing")),0)</f>
        <v>4.6357120000208072</v>
      </c>
      <c r="P70" s="324"/>
    </row>
    <row r="71" spans="1:16" s="50" customFormat="1" ht="15" customHeight="1" x14ac:dyDescent="0.2">
      <c r="A71" s="124">
        <f t="shared" si="4"/>
        <v>30</v>
      </c>
      <c r="B71" s="124">
        <f t="shared" si="4"/>
        <v>2039</v>
      </c>
      <c r="C71" s="122">
        <f ca="1">IFERROR(IF(VALUE(RIGHT($B$55,2))&gt;$A71,0,AVERAGEIFS(Elec_On_Peak, 'Avoided AC'!$D:$D, $B71, 'Avoided AC'!$E:$E, "Summer") +
        INDEX(AEPS!$S$8:$S$37, MATCH($A71, 'General Inputs'!$F$3:$F$32, 0)) +
        OFFSET(DRIPE!$I$10, MATCH('LI Output'!$B71, DRIPE!$I$11:$I$30, 0), MATCH('LI Output'!$B$55, DRIPE!$J$10:$N$10, 0), 1, 1) +
        INDEX(Arrearages!C$5:J$24, MATCH($A71, Arrearages!$B$5:$B$24, 0), MATCH('General Inputs'!$C$2, Arrearages!$C$4:$J$4, 0))),"Data Missing")</f>
        <v>108.00936567689774</v>
      </c>
      <c r="D71" s="17">
        <f ca="1">IFERROR(IF(VALUE(RIGHT($B$55,2))&gt;$A71,0,AVERAGEIFS(Elec_Off_Peak, 'Avoided AC'!$D:$D, $B71, 'Avoided AC'!$E:$E, "Summer") +
        INDEX(AEPS!$S$8:$S$37, MATCH($A71, 'General Inputs'!$F$3:$F$32, 0)) +
        OFFSET(DRIPE!$I$10, MATCH('LI Output'!$B71, DRIPE!$I$11:$I$30, 0), MATCH('LI Output'!$B$55, DRIPE!$J$10:$N$10, 0), 1, 1) +
        INDEX(Arrearages!C$5:J$24, MATCH($A71, Arrearages!$B$5:$B$24, 0), MATCH('General Inputs'!$C$2, Arrearages!$C$4:$J$4, 0))),"Data Missing")</f>
        <v>74.974653976476645</v>
      </c>
      <c r="E71" s="17">
        <f ca="1">IFERROR(IF(VALUE(RIGHT($B$55,2))&gt;$A71,0,AVERAGEIFS(Elec_On_Peak, 'Avoided AC'!$D:$D, $B71, 'Avoided AC'!$E:$E, "Winter") +
        INDEX(AEPS!$S$8:$S$37, MATCH($A71, 'General Inputs'!$F$3:$F$32, 0)) +
        OFFSET(DRIPE!$I$10, MATCH('LI Output'!$B71, DRIPE!$I$11:$I$30, 0), MATCH('LI Output'!$B$55, DRIPE!$J$10:$N$10, 0), 1, 1) +
        INDEX(Arrearages!C$5:J$24, MATCH($A71, Arrearages!$B$5:$B$24, 0), MATCH('General Inputs'!$C$2, Arrearages!$C$4:$J$4, 0))),"Data Missing")</f>
        <v>126.23290362710769</v>
      </c>
      <c r="F71" s="17">
        <f ca="1">IFERROR(IF(VALUE(RIGHT($B$55,2))&gt;$A71,0,AVERAGEIFS(Elec_Off_Peak, 'Avoided AC'!$D:$D, $B71, 'Avoided AC'!$E:$E, "Winter") +
        INDEX(AEPS!$S$8:$S$37, MATCH($A71, 'General Inputs'!$F$3:$F$32, 0)) +
        OFFSET(DRIPE!$I$10, MATCH('LI Output'!$B71, DRIPE!$I$11:$I$30, 0), MATCH('LI Output'!$B$55, DRIPE!$J$10:$N$10, 0), 1, 1) +
        INDEX(Arrearages!C$5:J$24, MATCH($A71, Arrearages!$B$5:$B$24, 0), MATCH('General Inputs'!$C$2, Arrearages!$C$4:$J$4, 0))),"Data Missing")</f>
        <v>107.64104580831604</v>
      </c>
      <c r="G71" s="17">
        <f ca="1">IFERROR(IF(VALUE(RIGHT($B$55,2))&gt;$A71,0,AVERAGEIFS(Elec_On_Peak, 'Avoided AC'!$D:$D, $B71, 'Avoided AC'!$E:$E, "Shoulder") +
        INDEX(AEPS!$S$8:$S$37, MATCH($A71, 'General Inputs'!$F$3:$F$32, 0)) +
        OFFSET(DRIPE!$I$10, MATCH('LI Output'!$B71, DRIPE!$I$11:$I$30, 0), MATCH('LI Output'!$B$55, DRIPE!$J$10:$N$10, 0), 1, 1) +
        INDEX(Arrearages!C$5:J$24, MATCH($A71, Arrearages!$B$5:$B$24, 0), MATCH('General Inputs'!$C$2, Arrearages!$C$4:$J$4, 0))),"Data Missing")</f>
        <v>95.509661113698854</v>
      </c>
      <c r="H71" s="17">
        <f ca="1">IFERROR(IF(VALUE(RIGHT($B$55,2))&gt;$A71,0,AVERAGEIFS(Elec_Off_Peak, 'Avoided AC'!$D:$D, $B71, 'Avoided AC'!$E:$E, "Shoulder") +
        INDEX(AEPS!$S$8:$S$37, MATCH($A71, 'General Inputs'!$F$3:$F$32, 0)) +
        OFFSET(DRIPE!$I$10, MATCH('LI Output'!$B71, DRIPE!$I$11:$I$30, 0), MATCH('LI Output'!$B$55, DRIPE!$J$10:$N$10, 0), 1, 1) +
        INDEX(Arrearages!C$5:J$24, MATCH($A71, Arrearages!$B$5:$B$24, 0), MATCH('General Inputs'!$C$2, Arrearages!$C$4:$J$4, 0))),"Data Missing")</f>
        <v>79.360437216559362</v>
      </c>
      <c r="I71" s="17">
        <f ca="1">(IF(VALUE(RIGHT($B$55,2))&gt;$A71,0,INDEX('Generation Capacity'!$E$27:$K$48,MATCH($A71,'Generation Capacity'!$B$27:$B$48,FALSE),MATCH(EDC_NAME,'Generation Capacity'!$E$26:$K$26,FALSE))+
        OFFSET(DRIPE!$B$35,MATCH('LI Output'!$B71,DRIPE!$B$11:$B$30,0),MATCH('LI Output'!$B$55,DRIPE!$C$10:$G$10,0),1,1)))</f>
        <v>32.569398785214304</v>
      </c>
      <c r="J71" s="17">
        <f ca="1">(IF(VALUE(RIGHT($B$55,2))&gt;$A71,0,INDEX('Generation Capacity'!$E$27:$K$48,MATCH($A71,'Generation Capacity'!$B$27:$B$48,FALSE),MATCH(EDC_NAME,'Generation Capacity'!$E$26:$K$26,FALSE))+
        OFFSET(DRIPE!$I$35,MATCH('LI Output'!$B71,DRIPE!$B$11:$B$30,0),MATCH('LI Output'!$B$55,DRIPE!$C$10:$G$10,0),1,1)))</f>
        <v>32.569398785214304</v>
      </c>
      <c r="K71" s="17">
        <f ca="1">IFERROR(IF(VALUE(RIGHT($B$55,2))&gt;$A71,0,INDEX('T&amp;D Capacity'!$E$4:$K$23,MATCH($A71,'T&amp;D Capacity'!$B$4:$B$23,FALSE),MATCH(EDC_NAME,'T&amp;D Capacity'!$E$3:$K$3,FALSE))),0)</f>
        <v>11.291759550184038</v>
      </c>
      <c r="L71" s="17">
        <f ca="1">IFERROR(IF(VALUE(RIGHT($B$55,2))&gt;$A71,0,INDEX('T&amp;D Capacity'!$E$28:$K$47,MATCH($A71,'T&amp;D Capacity'!$B$28:$B$47,FALSE),MATCH(EDC_NAME,'T&amp;D Capacity'!$E$27:$K$27,FALSE))),0)</f>
        <v>11.291759550184038</v>
      </c>
      <c r="M71" s="17">
        <f ca="1">IFERROR(IF(VALUE(RIGHT($B$55,2))&gt;$A71,0,INDEX('T&amp;D Capacity'!$M$4:$S$23,MATCH($A71,'T&amp;D Capacity'!$B$4:$B$23,FALSE),MATCH(EDC_NAME,'T&amp;D Capacity'!$M$3:$S$3,FALSE))),0)</f>
        <v>73.280775959561936</v>
      </c>
      <c r="N71" s="17">
        <f ca="1">IFERROR(IF(VALUE(RIGHT($B$55,2))&gt;$A71,0,INDEX('T&amp;D Capacity'!$M$28:$S$47,MATCH($A71,'T&amp;D Capacity'!$B$28:$B$47,FALSE),MATCH(EDC_NAME,'T&amp;D Capacity'!$M$27:$S$27,FALSE))),0)</f>
        <v>10.626220188540552</v>
      </c>
      <c r="O71" s="18">
        <f>IFERROR(IF(VALUE(RIGHT($B$55,2))&gt;$A71,0,IFERROR(AVERAGEIF('NG Futures'!$E:$E,$B71,'NG Futures'!$I:$I),"Data Missing")),0)</f>
        <v>4.5604826844447048</v>
      </c>
      <c r="P71" s="324"/>
    </row>
    <row r="72" spans="1:16" s="50" customFormat="1" ht="15" customHeight="1" x14ac:dyDescent="0.2">
      <c r="A72" s="124">
        <f t="shared" si="4"/>
        <v>31</v>
      </c>
      <c r="B72" s="124">
        <f t="shared" si="4"/>
        <v>2040</v>
      </c>
      <c r="C72" s="122">
        <f ca="1">IFERROR(IF(VALUE(RIGHT($B$55,2))&gt;$A72,0,AVERAGEIFS(Elec_On_Peak, 'Avoided AC'!$D:$D, $B72, 'Avoided AC'!$E:$E, "Summer") +
        INDEX(AEPS!$S$8:$S$37, MATCH($A72, 'General Inputs'!$F$3:$F$32, 0)) +
        OFFSET(DRIPE!$I$10, MATCH('LI Output'!$B72, DRIPE!$I$11:$I$30, 0), MATCH('LI Output'!$B$55, DRIPE!$J$10:$N$10, 0), 1, 1) +
        INDEX(Arrearages!C$5:J$24, MATCH($A72, Arrearages!$B$5:$B$24, 0), MATCH('General Inputs'!$C$2, Arrearages!$C$4:$J$4, 0))),"Data Missing")</f>
        <v>108.89398769395332</v>
      </c>
      <c r="D72" s="17">
        <f ca="1">IFERROR(IF(VALUE(RIGHT($B$55,2))&gt;$A72,0,AVERAGEIFS(Elec_Off_Peak, 'Avoided AC'!$D:$D, $B72, 'Avoided AC'!$E:$E, "Summer") +
        INDEX(AEPS!$S$8:$S$37, MATCH($A72, 'General Inputs'!$F$3:$F$32, 0)) +
        OFFSET(DRIPE!$I$10, MATCH('LI Output'!$B72, DRIPE!$I$11:$I$30, 0), MATCH('LI Output'!$B$55, DRIPE!$J$10:$N$10, 0), 1, 1) +
        INDEX(Arrearages!C$5:J$24, MATCH($A72, Arrearages!$B$5:$B$24, 0), MATCH('General Inputs'!$C$2, Arrearages!$C$4:$J$4, 0))),"Data Missing")</f>
        <v>75.781166368535537</v>
      </c>
      <c r="E72" s="17">
        <f ca="1">IFERROR(IF(VALUE(RIGHT($B$55,2))&gt;$A72,0,AVERAGEIFS(Elec_On_Peak, 'Avoided AC'!$D:$D, $B72, 'Avoided AC'!$E:$E, "Winter") +
        INDEX(AEPS!$S$8:$S$37, MATCH($A72, 'General Inputs'!$F$3:$F$32, 0)) +
        OFFSET(DRIPE!$I$10, MATCH('LI Output'!$B72, DRIPE!$I$11:$I$30, 0), MATCH('LI Output'!$B$55, DRIPE!$J$10:$N$10, 0), 1, 1) +
        INDEX(Arrearages!C$5:J$24, MATCH($A72, Arrearages!$B$5:$B$24, 0), MATCH('General Inputs'!$C$2, Arrearages!$C$4:$J$4, 0))),"Data Missing")</f>
        <v>127.47710509878132</v>
      </c>
      <c r="F72" s="17">
        <f ca="1">IFERROR(IF(VALUE(RIGHT($B$55,2))&gt;$A72,0,AVERAGEIFS(Elec_Off_Peak, 'Avoided AC'!$D:$D, $B72, 'Avoided AC'!$E:$E, "Winter") +
        INDEX(AEPS!$S$8:$S$37, MATCH($A72, 'General Inputs'!$F$3:$F$32, 0)) +
        OFFSET(DRIPE!$I$10, MATCH('LI Output'!$B72, DRIPE!$I$11:$I$30, 0), MATCH('LI Output'!$B$55, DRIPE!$J$10:$N$10, 0), 1, 1) +
        INDEX(Arrearages!C$5:J$24, MATCH($A72, Arrearages!$B$5:$B$24, 0), MATCH('General Inputs'!$C$2, Arrearages!$C$4:$J$4, 0))),"Data Missing")</f>
        <v>108.69518880212277</v>
      </c>
      <c r="G72" s="17">
        <f ca="1">IFERROR(IF(VALUE(RIGHT($B$55,2))&gt;$A72,0,AVERAGEIFS(Elec_On_Peak, 'Avoided AC'!$D:$D, $B72, 'Avoided AC'!$E:$E, "Shoulder") +
        INDEX(AEPS!$S$8:$S$37, MATCH($A72, 'General Inputs'!$F$3:$F$32, 0)) +
        OFFSET(DRIPE!$I$10, MATCH('LI Output'!$B72, DRIPE!$I$11:$I$30, 0), MATCH('LI Output'!$B$55, DRIPE!$J$10:$N$10, 0), 1, 1) +
        INDEX(Arrearages!C$5:J$24, MATCH($A72, Arrearages!$B$5:$B$24, 0), MATCH('General Inputs'!$C$2, Arrearages!$C$4:$J$4, 0))),"Data Missing")</f>
        <v>96.432383515462632</v>
      </c>
      <c r="H72" s="17">
        <f ca="1">IFERROR(IF(VALUE(RIGHT($B$55,2))&gt;$A72,0,AVERAGEIFS(Elec_Off_Peak, 'Avoided AC'!$D:$D, $B72, 'Avoided AC'!$E:$E, "Shoulder") +
        INDEX(AEPS!$S$8:$S$37, MATCH($A72, 'General Inputs'!$F$3:$F$32, 0)) +
        OFFSET(DRIPE!$I$10, MATCH('LI Output'!$B72, DRIPE!$I$11:$I$30, 0), MATCH('LI Output'!$B$55, DRIPE!$J$10:$N$10, 0), 1, 1) +
        INDEX(Arrearages!C$5:J$24, MATCH($A72, Arrearages!$B$5:$B$24, 0), MATCH('General Inputs'!$C$2, Arrearages!$C$4:$J$4, 0))),"Data Missing")</f>
        <v>80.193188096582332</v>
      </c>
      <c r="I72" s="17">
        <f ca="1">(IF(VALUE(RIGHT($B$55,2))&gt;$A72,0,INDEX('Generation Capacity'!$E$27:$K$48,MATCH($A72,'Generation Capacity'!$B$27:$B$48,FALSE),MATCH(EDC_NAME,'Generation Capacity'!$E$26:$K$26,FALSE))+
        OFFSET(DRIPE!$B$35,MATCH('LI Output'!$B72,DRIPE!$B$11:$B$30,0),MATCH('LI Output'!$B$55,DRIPE!$C$10:$G$10,0),1,1)))</f>
        <v>33.244088006088298</v>
      </c>
      <c r="J72" s="17">
        <f ca="1">(IF(VALUE(RIGHT($B$55,2))&gt;$A72,0,INDEX('Generation Capacity'!$E$27:$K$48,MATCH($A72,'Generation Capacity'!$B$27:$B$48,FALSE),MATCH(EDC_NAME,'Generation Capacity'!$E$26:$K$26,FALSE))+
        OFFSET(DRIPE!$I$35,MATCH('LI Output'!$B72,DRIPE!$B$11:$B$30,0),MATCH('LI Output'!$B$55,DRIPE!$C$10:$G$10,0),1,1)))</f>
        <v>33.244088006088298</v>
      </c>
      <c r="K72" s="17">
        <f ca="1">IFERROR(IF(VALUE(RIGHT($B$55,2))&gt;$A72,0,INDEX('T&amp;D Capacity'!$E$4:$K$23,MATCH($A72,'T&amp;D Capacity'!$B$4:$B$23,FALSE),MATCH(EDC_NAME,'T&amp;D Capacity'!$E$3:$K$3,FALSE))),0)</f>
        <v>11.525673246394749</v>
      </c>
      <c r="L72" s="17">
        <f ca="1">IFERROR(IF(VALUE(RIGHT($B$55,2))&gt;$A72,0,INDEX('T&amp;D Capacity'!$E$28:$K$47,MATCH($A72,'T&amp;D Capacity'!$B$28:$B$47,FALSE),MATCH(EDC_NAME,'T&amp;D Capacity'!$E$27:$K$27,FALSE))),0)</f>
        <v>11.525673246394749</v>
      </c>
      <c r="M72" s="17">
        <f ca="1">IFERROR(IF(VALUE(RIGHT($B$55,2))&gt;$A72,0,INDEX('T&amp;D Capacity'!$M$4:$S$23,MATCH($A72,'T&amp;D Capacity'!$B$4:$B$23,FALSE),MATCH(EDC_NAME,'T&amp;D Capacity'!$M$3:$S$3,FALSE))),0)</f>
        <v>74.798819014739365</v>
      </c>
      <c r="N72" s="17">
        <f ca="1">IFERROR(IF(VALUE(RIGHT($B$55,2))&gt;$A72,0,INDEX('T&amp;D Capacity'!$M$28:$S$47,MATCH($A72,'T&amp;D Capacity'!$B$28:$B$47,FALSE),MATCH(EDC_NAME,'T&amp;D Capacity'!$M$27:$S$27,FALSE))),0)</f>
        <v>10.846346948236732</v>
      </c>
      <c r="O72" s="18">
        <f>IFERROR(IF(VALUE(RIGHT($B$55,2))&gt;$A72,0,IFERROR(AVERAGEIF('NG Futures'!$E:$E,$B72,'NG Futures'!$I:$I),"Data Missing")),0)</f>
        <v>4.5925300938202467</v>
      </c>
      <c r="P72" s="324"/>
    </row>
    <row r="73" spans="1:16" s="50" customFormat="1" ht="15" customHeight="1" x14ac:dyDescent="0.2">
      <c r="A73" s="124">
        <f t="shared" si="4"/>
        <v>32</v>
      </c>
      <c r="B73" s="124">
        <f t="shared" si="4"/>
        <v>2041</v>
      </c>
      <c r="C73" s="122">
        <f ca="1">IFERROR(IF(VALUE(RIGHT($B$55,2))&gt;$A73,0,AVERAGEIFS(Elec_On_Peak, 'Avoided AC'!$D:$D, $B73, 'Avoided AC'!$E:$E, "Summer") +
        INDEX(AEPS!$S$8:$S$37, MATCH($A73, 'General Inputs'!$F$3:$F$32, 0)) +
        OFFSET(DRIPE!$I$10, MATCH('LI Output'!$B73, DRIPE!$I$11:$I$30, 0), MATCH('LI Output'!$B$55, DRIPE!$J$10:$N$10, 0), 1, 1) +
        INDEX(Arrearages!C$5:J$24, MATCH($A73, Arrearages!$B$5:$B$24, 0), MATCH('General Inputs'!$C$2, Arrearages!$C$4:$J$4, 0))),"Data Missing")</f>
        <v>110.68050739041985</v>
      </c>
      <c r="D73" s="17">
        <f ca="1">IFERROR(IF(VALUE(RIGHT($B$55,2))&gt;$A73,0,AVERAGEIFS(Elec_Off_Peak, 'Avoided AC'!$D:$D, $B73, 'Avoided AC'!$E:$E, "Summer") +
        INDEX(AEPS!$S$8:$S$37, MATCH($A73, 'General Inputs'!$F$3:$F$32, 0)) +
        OFFSET(DRIPE!$I$10, MATCH('LI Output'!$B73, DRIPE!$I$11:$I$30, 0), MATCH('LI Output'!$B$55, DRIPE!$J$10:$N$10, 0), 1, 1) +
        INDEX(Arrearages!C$5:J$24, MATCH($A73, Arrearages!$B$5:$B$24, 0), MATCH('General Inputs'!$C$2, Arrearages!$C$4:$J$4, 0))),"Data Missing")</f>
        <v>77.212732217499507</v>
      </c>
      <c r="E73" s="17">
        <f ca="1">IFERROR(IF(VALUE(RIGHT($B$55,2))&gt;$A73,0,AVERAGEIFS(Elec_On_Peak, 'Avoided AC'!$D:$D, $B73, 'Avoided AC'!$E:$E, "Winter") +
        INDEX(AEPS!$S$8:$S$37, MATCH($A73, 'General Inputs'!$F$3:$F$32, 0)) +
        OFFSET(DRIPE!$I$10, MATCH('LI Output'!$B73, DRIPE!$I$11:$I$30, 0), MATCH('LI Output'!$B$55, DRIPE!$J$10:$N$10, 0), 1, 1) +
        INDEX(Arrearages!C$5:J$24, MATCH($A73, Arrearages!$B$5:$B$24, 0), MATCH('General Inputs'!$C$2, Arrearages!$C$4:$J$4, 0))),"Data Missing")</f>
        <v>130.89766299354926</v>
      </c>
      <c r="F73" s="17">
        <f ca="1">IFERROR(IF(VALUE(RIGHT($B$55,2))&gt;$A73,0,AVERAGEIFS(Elec_Off_Peak, 'Avoided AC'!$D:$D, $B73, 'Avoided AC'!$E:$E, "Winter") +
        INDEX(AEPS!$S$8:$S$37, MATCH($A73, 'General Inputs'!$F$3:$F$32, 0)) +
        OFFSET(DRIPE!$I$10, MATCH('LI Output'!$B73, DRIPE!$I$11:$I$30, 0), MATCH('LI Output'!$B$55, DRIPE!$J$10:$N$10, 0), 1, 1) +
        INDEX(Arrearages!C$5:J$24, MATCH($A73, Arrearages!$B$5:$B$24, 0), MATCH('General Inputs'!$C$2, Arrearages!$C$4:$J$4, 0))),"Data Missing")</f>
        <v>111.2520632779496</v>
      </c>
      <c r="G73" s="17">
        <f ca="1">IFERROR(IF(VALUE(RIGHT($B$55,2))&gt;$A73,0,AVERAGEIFS(Elec_On_Peak, 'Avoided AC'!$D:$D, $B73, 'Avoided AC'!$E:$E, "Shoulder") +
        INDEX(AEPS!$S$8:$S$37, MATCH($A73, 'General Inputs'!$F$3:$F$32, 0)) +
        OFFSET(DRIPE!$I$10, MATCH('LI Output'!$B73, DRIPE!$I$11:$I$30, 0), MATCH('LI Output'!$B$55, DRIPE!$J$10:$N$10, 0), 1, 1) +
        INDEX(Arrearages!C$5:J$24, MATCH($A73, Arrearages!$B$5:$B$24, 0), MATCH('General Inputs'!$C$2, Arrearages!$C$4:$J$4, 0))),"Data Missing")</f>
        <v>98.392042926069223</v>
      </c>
      <c r="H73" s="17">
        <f ca="1">IFERROR(IF(VALUE(RIGHT($B$55,2))&gt;$A73,0,AVERAGEIFS(Elec_Off_Peak, 'Avoided AC'!$D:$D, $B73, 'Avoided AC'!$E:$E, "Shoulder") +
        INDEX(AEPS!$S$8:$S$37, MATCH($A73, 'General Inputs'!$F$3:$F$32, 0)) +
        OFFSET(DRIPE!$I$10, MATCH('LI Output'!$B73, DRIPE!$I$11:$I$30, 0), MATCH('LI Output'!$B$55, DRIPE!$J$10:$N$10, 0), 1, 1) +
        INDEX(Arrearages!C$5:J$24, MATCH($A73, Arrearages!$B$5:$B$24, 0), MATCH('General Inputs'!$C$2, Arrearages!$C$4:$J$4, 0))),"Data Missing")</f>
        <v>81.7439895999985</v>
      </c>
      <c r="I73" s="17">
        <f ca="1">(IF(VALUE(RIGHT($B$55,2))&gt;$A73,0,INDEX('Generation Capacity'!$E$27:$K$48,MATCH($A73,'Generation Capacity'!$B$27:$B$48,FALSE),MATCH(EDC_NAME,'Generation Capacity'!$E$26:$K$26,FALSE))+
        OFFSET(DRIPE!$B$35,MATCH('LI Output'!$B73,DRIPE!$B$11:$B$30,0),MATCH('LI Output'!$B$55,DRIPE!$C$10:$G$10,0),1,1)))</f>
        <v>33.932753706778989</v>
      </c>
      <c r="J73" s="17">
        <f ca="1">(IF(VALUE(RIGHT($B$55,2))&gt;$A73,0,INDEX('Generation Capacity'!$E$27:$K$48,MATCH($A73,'Generation Capacity'!$B$27:$B$48,FALSE),MATCH(EDC_NAME,'Generation Capacity'!$E$26:$K$26,FALSE))+
        OFFSET(DRIPE!$I$35,MATCH('LI Output'!$B73,DRIPE!$B$11:$B$30,0),MATCH('LI Output'!$B$55,DRIPE!$C$10:$G$10,0),1,1)))</f>
        <v>33.932753706778989</v>
      </c>
      <c r="K73" s="17">
        <f ca="1">IFERROR(IF(VALUE(RIGHT($B$55,2))&gt;$A73,0,INDEX('T&amp;D Capacity'!$E$4:$K$23,MATCH($A73,'T&amp;D Capacity'!$B$4:$B$23,FALSE),MATCH(EDC_NAME,'T&amp;D Capacity'!$E$3:$K$3,FALSE))),0)</f>
        <v>11.76443256626861</v>
      </c>
      <c r="L73" s="17">
        <f ca="1">IFERROR(IF(VALUE(RIGHT($B$55,2))&gt;$A73,0,INDEX('T&amp;D Capacity'!$E$28:$K$47,MATCH($A73,'T&amp;D Capacity'!$B$28:$B$47,FALSE),MATCH(EDC_NAME,'T&amp;D Capacity'!$E$27:$K$27,FALSE))),0)</f>
        <v>11.76443256626861</v>
      </c>
      <c r="M73" s="17">
        <f ca="1">IFERROR(IF(VALUE(RIGHT($B$55,2))&gt;$A73,0,INDEX('T&amp;D Capacity'!$M$4:$S$23,MATCH($A73,'T&amp;D Capacity'!$B$4:$B$23,FALSE),MATCH(EDC_NAME,'T&amp;D Capacity'!$M$3:$S$3,FALSE))),0)</f>
        <v>76.34830899016562</v>
      </c>
      <c r="N73" s="17">
        <f ca="1">IFERROR(IF(VALUE(RIGHT($B$55,2))&gt;$A73,0,INDEX('T&amp;D Capacity'!$M$28:$S$47,MATCH($A73,'T&amp;D Capacity'!$B$28:$B$47,FALSE),MATCH(EDC_NAME,'T&amp;D Capacity'!$M$27:$S$27,FALSE))),0)</f>
        <v>11.071033729226899</v>
      </c>
      <c r="O73" s="18">
        <f>IFERROR(IF(VALUE(RIGHT($B$55,2))&gt;$A73,0,IFERROR(AVERAGEIF('NG Futures'!$E:$E,$B73,'NG Futures'!$I:$I),"Data Missing")),0)</f>
        <v>4.7381632505640319</v>
      </c>
      <c r="P73" s="324"/>
    </row>
    <row r="74" spans="1:16" s="50" customFormat="1" ht="15" customHeight="1" x14ac:dyDescent="0.2">
      <c r="A74" s="124">
        <f t="shared" si="4"/>
        <v>33</v>
      </c>
      <c r="B74" s="124">
        <f t="shared" si="4"/>
        <v>2042</v>
      </c>
      <c r="C74" s="122">
        <f ca="1">IFERROR(IF(VALUE(RIGHT($B$55,2))&gt;$A74,0,AVERAGEIFS(Elec_On_Peak, 'Avoided AC'!$D:$D, $B74, 'Avoided AC'!$E:$E, "Summer") +
        INDEX(AEPS!$S$8:$S$37, MATCH($A74, 'General Inputs'!$F$3:$F$32, 0)) +
        OFFSET(DRIPE!$I$10, MATCH('LI Output'!$B74, DRIPE!$I$11:$I$30, 0), MATCH('LI Output'!$B$55, DRIPE!$J$10:$N$10, 0), 1, 1) +
        INDEX(Arrearages!C$5:J$24, MATCH($A74, Arrearages!$B$5:$B$24, 0), MATCH('General Inputs'!$C$2, Arrearages!$C$4:$J$4, 0))),"Data Missing")</f>
        <v>112.61371129665545</v>
      </c>
      <c r="D74" s="17">
        <f ca="1">IFERROR(IF(VALUE(RIGHT($B$55,2))&gt;$A74,0,AVERAGEIFS(Elec_Off_Peak, 'Avoided AC'!$D:$D, $B74, 'Avoided AC'!$E:$E, "Summer") +
        INDEX(AEPS!$S$8:$S$37, MATCH($A74, 'General Inputs'!$F$3:$F$32, 0)) +
        OFFSET(DRIPE!$I$10, MATCH('LI Output'!$B74, DRIPE!$I$11:$I$30, 0), MATCH('LI Output'!$B$55, DRIPE!$J$10:$N$10, 0), 1, 1) +
        INDEX(Arrearages!C$5:J$24, MATCH($A74, Arrearages!$B$5:$B$24, 0), MATCH('General Inputs'!$C$2, Arrearages!$C$4:$J$4, 0))),"Data Missing")</f>
        <v>78.749339645012867</v>
      </c>
      <c r="E74" s="17">
        <f ca="1">IFERROR(IF(VALUE(RIGHT($B$55,2))&gt;$A74,0,AVERAGEIFS(Elec_On_Peak, 'Avoided AC'!$D:$D, $B74, 'Avoided AC'!$E:$E, "Winter") +
        INDEX(AEPS!$S$8:$S$37, MATCH($A74, 'General Inputs'!$F$3:$F$32, 0)) +
        OFFSET(DRIPE!$I$10, MATCH('LI Output'!$B74, DRIPE!$I$11:$I$30, 0), MATCH('LI Output'!$B$55, DRIPE!$J$10:$N$10, 0), 1, 1) +
        INDEX(Arrearages!C$5:J$24, MATCH($A74, Arrearages!$B$5:$B$24, 0), MATCH('General Inputs'!$C$2, Arrearages!$C$4:$J$4, 0))),"Data Missing")</f>
        <v>134.65660790837964</v>
      </c>
      <c r="F74" s="17">
        <f ca="1">IFERROR(IF(VALUE(RIGHT($B$55,2))&gt;$A74,0,AVERAGEIFS(Elec_Off_Peak, 'Avoided AC'!$D:$D, $B74, 'Avoided AC'!$E:$E, "Winter") +
        INDEX(AEPS!$S$8:$S$37, MATCH($A74, 'General Inputs'!$F$3:$F$32, 0)) +
        OFFSET(DRIPE!$I$10, MATCH('LI Output'!$B74, DRIPE!$I$11:$I$30, 0), MATCH('LI Output'!$B$55, DRIPE!$J$10:$N$10, 0), 1, 1) +
        INDEX(Arrearages!C$5:J$24, MATCH($A74, Arrearages!$B$5:$B$24, 0), MATCH('General Inputs'!$C$2, Arrearages!$C$4:$J$4, 0))),"Data Missing")</f>
        <v>114.04599878354874</v>
      </c>
      <c r="G74" s="17">
        <f ca="1">IFERROR(IF(VALUE(RIGHT($B$55,2))&gt;$A74,0,AVERAGEIFS(Elec_On_Peak, 'Avoided AC'!$D:$D, $B74, 'Avoided AC'!$E:$E, "Shoulder") +
        INDEX(AEPS!$S$8:$S$37, MATCH($A74, 'General Inputs'!$F$3:$F$32, 0)) +
        OFFSET(DRIPE!$I$10, MATCH('LI Output'!$B74, DRIPE!$I$11:$I$30, 0), MATCH('LI Output'!$B$55, DRIPE!$J$10:$N$10, 0), 1, 1) +
        INDEX(Arrearages!C$5:J$24, MATCH($A74, Arrearages!$B$5:$B$24, 0), MATCH('General Inputs'!$C$2, Arrearages!$C$4:$J$4, 0))),"Data Missing")</f>
        <v>100.51869902739462</v>
      </c>
      <c r="H74" s="17">
        <f ca="1">IFERROR(IF(VALUE(RIGHT($B$55,2))&gt;$A74,0,AVERAGEIFS(Elec_Off_Peak, 'Avoided AC'!$D:$D, $B74, 'Avoided AC'!$E:$E, "Shoulder") +
        INDEX(AEPS!$S$8:$S$37, MATCH($A74, 'General Inputs'!$F$3:$F$32, 0)) +
        OFFSET(DRIPE!$I$10, MATCH('LI Output'!$B74, DRIPE!$I$11:$I$30, 0), MATCH('LI Output'!$B$55, DRIPE!$J$10:$N$10, 0), 1, 1) +
        INDEX(Arrearages!C$5:J$24, MATCH($A74, Arrearages!$B$5:$B$24, 0), MATCH('General Inputs'!$C$2, Arrearages!$C$4:$J$4, 0))),"Data Missing")</f>
        <v>83.413821222788556</v>
      </c>
      <c r="I74" s="17">
        <f ca="1">(IF(VALUE(RIGHT($B$55,2))&gt;$A74,0,INDEX('Generation Capacity'!$E$27:$K$48,MATCH($A74,'Generation Capacity'!$B$27:$B$48,FALSE),MATCH(EDC_NAME,'Generation Capacity'!$E$26:$K$26,FALSE))+
        OFFSET(DRIPE!$B$35,MATCH('LI Output'!$B74,DRIPE!$B$11:$B$30,0),MATCH('LI Output'!$B$55,DRIPE!$C$10:$G$10,0),1,1)))</f>
        <v>34.635685416127252</v>
      </c>
      <c r="J74" s="17">
        <f ca="1">(IF(VALUE(RIGHT($B$55,2))&gt;$A74,0,INDEX('Generation Capacity'!$E$27:$K$48,MATCH($A74,'Generation Capacity'!$B$27:$B$48,FALSE),MATCH(EDC_NAME,'Generation Capacity'!$E$26:$K$26,FALSE))+
        OFFSET(DRIPE!$I$35,MATCH('LI Output'!$B74,DRIPE!$B$11:$B$30,0),MATCH('LI Output'!$B$55,DRIPE!$C$10:$G$10,0),1,1)))</f>
        <v>34.635685416127252</v>
      </c>
      <c r="K74" s="17">
        <f ca="1">IFERROR(IF(VALUE(RIGHT($B$55,2))&gt;$A74,0,INDEX('T&amp;D Capacity'!$E$4:$K$23,MATCH($A74,'T&amp;D Capacity'!$B$4:$B$23,FALSE),MATCH(EDC_NAME,'T&amp;D Capacity'!$E$3:$K$3,FALSE))),0)</f>
        <v>12.008137889001302</v>
      </c>
      <c r="L74" s="17">
        <f ca="1">IFERROR(IF(VALUE(RIGHT($B$55,2))&gt;$A74,0,INDEX('T&amp;D Capacity'!$E$28:$K$47,MATCH($A74,'T&amp;D Capacity'!$B$28:$B$47,FALSE),MATCH(EDC_NAME,'T&amp;D Capacity'!$E$27:$K$27,FALSE))),0)</f>
        <v>12.008137889001302</v>
      </c>
      <c r="M74" s="17">
        <f ca="1">IFERROR(IF(VALUE(RIGHT($B$55,2))&gt;$A74,0,INDEX('T&amp;D Capacity'!$M$4:$S$23,MATCH($A74,'T&amp;D Capacity'!$B$4:$B$23,FALSE),MATCH(EDC_NAME,'T&amp;D Capacity'!$M$3:$S$3,FALSE))),0)</f>
        <v>77.929897322431884</v>
      </c>
      <c r="N74" s="17">
        <f ca="1">IFERROR(IF(VALUE(RIGHT($B$55,2))&gt;$A74,0,INDEX('T&amp;D Capacity'!$M$28:$S$47,MATCH($A74,'T&amp;D Capacity'!$B$28:$B$47,FALSE),MATCH(EDC_NAME,'T&amp;D Capacity'!$M$27:$S$27,FALSE))),0)</f>
        <v>11.300374994329797</v>
      </c>
      <c r="O74" s="18">
        <f>IFERROR(IF(VALUE(RIGHT($B$55,2))&gt;$A74,0,IFERROR(AVERAGEIF('NG Futures'!$E:$E,$B74,'NG Futures'!$I:$I),"Data Missing")),0)</f>
        <v>4.9008818618881964</v>
      </c>
      <c r="P74" s="324"/>
    </row>
    <row r="75" spans="1:16" s="50" customFormat="1" ht="15" customHeight="1" x14ac:dyDescent="0.2">
      <c r="A75" s="124">
        <f t="shared" si="4"/>
        <v>34</v>
      </c>
      <c r="B75" s="124">
        <f t="shared" si="4"/>
        <v>2043</v>
      </c>
      <c r="C75" s="122">
        <f ca="1">IFERROR(IF(VALUE(RIGHT($B$55,2))&gt;$A75,0,AVERAGEIFS(Elec_On_Peak, 'Avoided AC'!$D:$D, $B75, 'Avoided AC'!$E:$E, "Summer") +
        INDEX(AEPS!$S$8:$S$37, MATCH($A75, 'General Inputs'!$F$3:$F$32, 0)) +
        OFFSET(DRIPE!$I$10, MATCH('LI Output'!$B75, DRIPE!$I$11:$I$30, 0), MATCH('LI Output'!$B$55, DRIPE!$J$10:$N$10, 0), 1, 1) +
        INDEX(Arrearages!C$5:J$24, MATCH($A75, Arrearages!$B$5:$B$24, 0), MATCH('General Inputs'!$C$2, Arrearages!$C$4:$J$4, 0))),"Data Missing")</f>
        <v>114.59786857394181</v>
      </c>
      <c r="D75" s="17">
        <f ca="1">IFERROR(IF(VALUE(RIGHT($B$55,2))&gt;$A75,0,AVERAGEIFS(Elec_Off_Peak, 'Avoided AC'!$D:$D, $B75, 'Avoided AC'!$E:$E, "Summer") +
        INDEX(AEPS!$S$8:$S$37, MATCH($A75, 'General Inputs'!$F$3:$F$32, 0)) +
        OFFSET(DRIPE!$I$10, MATCH('LI Output'!$B75, DRIPE!$I$11:$I$30, 0), MATCH('LI Output'!$B$55, DRIPE!$J$10:$N$10, 0), 1, 1) +
        INDEX(Arrearages!C$5:J$24, MATCH($A75, Arrearages!$B$5:$B$24, 0), MATCH('General Inputs'!$C$2, Arrearages!$C$4:$J$4, 0))),"Data Missing")</f>
        <v>80.325142454899378</v>
      </c>
      <c r="E75" s="17">
        <f ca="1">IFERROR(IF(VALUE(RIGHT($B$55,2))&gt;$A75,0,AVERAGEIFS(Elec_On_Peak, 'Avoided AC'!$D:$D, $B75, 'Avoided AC'!$E:$E, "Winter") +
        INDEX(AEPS!$S$8:$S$37, MATCH($A75, 'General Inputs'!$F$3:$F$32, 0)) +
        OFFSET(DRIPE!$I$10, MATCH('LI Output'!$B75, DRIPE!$I$11:$I$30, 0), MATCH('LI Output'!$B$55, DRIPE!$J$10:$N$10, 0), 1, 1) +
        INDEX(Arrearages!C$5:J$24, MATCH($A75, Arrearages!$B$5:$B$24, 0), MATCH('General Inputs'!$C$2, Arrearages!$C$4:$J$4, 0))),"Data Missing")</f>
        <v>138.52063436548531</v>
      </c>
      <c r="F75" s="17">
        <f ca="1">IFERROR(IF(VALUE(RIGHT($B$55,2))&gt;$A75,0,AVERAGEIFS(Elec_Off_Peak, 'Avoided AC'!$D:$D, $B75, 'Avoided AC'!$E:$E, "Winter") +
        INDEX(AEPS!$S$8:$S$37, MATCH($A75, 'General Inputs'!$F$3:$F$32, 0)) +
        OFFSET(DRIPE!$I$10, MATCH('LI Output'!$B75, DRIPE!$I$11:$I$30, 0), MATCH('LI Output'!$B$55, DRIPE!$J$10:$N$10, 0), 1, 1) +
        INDEX(Arrearages!C$5:J$24, MATCH($A75, Arrearages!$B$5:$B$24, 0), MATCH('General Inputs'!$C$2, Arrearages!$C$4:$J$4, 0))),"Data Missing")</f>
        <v>116.91640597148668</v>
      </c>
      <c r="G75" s="17">
        <f ca="1">IFERROR(IF(VALUE(RIGHT($B$55,2))&gt;$A75,0,AVERAGEIFS(Elec_On_Peak, 'Avoided AC'!$D:$D, $B75, 'Avoided AC'!$E:$E, "Shoulder") +
        INDEX(AEPS!$S$8:$S$37, MATCH($A75, 'General Inputs'!$F$3:$F$32, 0)) +
        OFFSET(DRIPE!$I$10, MATCH('LI Output'!$B75, DRIPE!$I$11:$I$30, 0), MATCH('LI Output'!$B$55, DRIPE!$J$10:$N$10, 0), 1, 1) +
        INDEX(Arrearages!C$5:J$24, MATCH($A75, Arrearages!$B$5:$B$24, 0), MATCH('General Inputs'!$C$2, Arrearages!$C$4:$J$4, 0))),"Data Missing")</f>
        <v>102.70204382230017</v>
      </c>
      <c r="H75" s="17">
        <f ca="1">IFERROR(IF(VALUE(RIGHT($B$55,2))&gt;$A75,0,AVERAGEIFS(Elec_Off_Peak, 'Avoided AC'!$D:$D, $B75, 'Avoided AC'!$E:$E, "Shoulder") +
        INDEX(AEPS!$S$8:$S$37, MATCH($A75, 'General Inputs'!$F$3:$F$32, 0)) +
        OFFSET(DRIPE!$I$10, MATCH('LI Output'!$B75, DRIPE!$I$11:$I$30, 0), MATCH('LI Output'!$B$55, DRIPE!$J$10:$N$10, 0), 1, 1) +
        INDEX(Arrearages!C$5:J$24, MATCH($A75, Arrearages!$B$5:$B$24, 0), MATCH('General Inputs'!$C$2, Arrearages!$C$4:$J$4, 0))),"Data Missing")</f>
        <v>85.126797956866881</v>
      </c>
      <c r="I75" s="17">
        <f ca="1">(IF(VALUE(RIGHT($B$55,2))&gt;$A75,0,INDEX('Generation Capacity'!$E$27:$K$48,MATCH($A75,'Generation Capacity'!$B$27:$B$48,FALSE),MATCH(EDC_NAME,'Generation Capacity'!$E$26:$K$26,FALSE))+
        OFFSET(DRIPE!$B$35,MATCH('LI Output'!$B75,DRIPE!$B$11:$B$30,0),MATCH('LI Output'!$B$55,DRIPE!$C$10:$G$10,0),1,1)))</f>
        <v>35.353178660689451</v>
      </c>
      <c r="J75" s="17">
        <f ca="1">(IF(VALUE(RIGHT($B$55,2))&gt;$A75,0,INDEX('Generation Capacity'!$E$27:$K$48,MATCH($A75,'Generation Capacity'!$B$27:$B$48,FALSE),MATCH(EDC_NAME,'Generation Capacity'!$E$26:$K$26,FALSE))+
        OFFSET(DRIPE!$I$35,MATCH('LI Output'!$B75,DRIPE!$B$11:$B$30,0),MATCH('LI Output'!$B$55,DRIPE!$C$10:$G$10,0),1,1)))</f>
        <v>35.353178660689451</v>
      </c>
      <c r="K75" s="17">
        <f ca="1">IFERROR(IF(VALUE(RIGHT($B$55,2))&gt;$A75,0,INDEX('T&amp;D Capacity'!$E$4:$K$23,MATCH($A75,'T&amp;D Capacity'!$B$4:$B$23,FALSE),MATCH(EDC_NAME,'T&amp;D Capacity'!$E$3:$K$3,FALSE))),0)</f>
        <v>12.256891673187081</v>
      </c>
      <c r="L75" s="17">
        <f ca="1">IFERROR(IF(VALUE(RIGHT($B$55,2))&gt;$A75,0,INDEX('T&amp;D Capacity'!$E$28:$K$47,MATCH($A75,'T&amp;D Capacity'!$B$28:$B$47,FALSE),MATCH(EDC_NAME,'T&amp;D Capacity'!$E$27:$K$27,FALSE))),0)</f>
        <v>12.256891673187081</v>
      </c>
      <c r="M75" s="17">
        <f ca="1">IFERROR(IF(VALUE(RIGHT($B$55,2))&gt;$A75,0,INDEX('T&amp;D Capacity'!$M$4:$S$23,MATCH($A75,'T&amp;D Capacity'!$B$4:$B$23,FALSE),MATCH(EDC_NAME,'T&amp;D Capacity'!$M$3:$S$3,FALSE))),0)</f>
        <v>79.544248942920845</v>
      </c>
      <c r="N75" s="17">
        <f ca="1">IFERROR(IF(VALUE(RIGHT($B$55,2))&gt;$A75,0,INDEX('T&amp;D Capacity'!$M$28:$S$47,MATCH($A75,'T&amp;D Capacity'!$B$28:$B$47,FALSE),MATCH(EDC_NAME,'T&amp;D Capacity'!$M$27:$S$27,FALSE))),0)</f>
        <v>11.534467163202425</v>
      </c>
      <c r="O75" s="18">
        <f>IFERROR(IF(VALUE(RIGHT($B$55,2))&gt;$A75,0,IFERROR(AVERAGEIF('NG Futures'!$E:$E,$B75,'NG Futures'!$I:$I),"Data Missing")),0)</f>
        <v>5.0684246299869011</v>
      </c>
      <c r="P75" s="324"/>
    </row>
    <row r="76" spans="1:16" s="50" customFormat="1" ht="15" customHeight="1" x14ac:dyDescent="0.2">
      <c r="A76" s="124">
        <f t="shared" si="4"/>
        <v>35</v>
      </c>
      <c r="B76" s="124">
        <f t="shared" si="4"/>
        <v>2044</v>
      </c>
      <c r="C76" s="122">
        <f ca="1">IFERROR(IF(VALUE(RIGHT($B$55,2))&gt;$A76,0,AVERAGEIFS(Elec_On_Peak, 'Avoided AC'!$D:$D, $B76, 'Avoided AC'!$E:$E, "Summer") +
        INDEX(AEPS!$S$8:$S$37, MATCH($A76, 'General Inputs'!$F$3:$F$32, 0)) +
        OFFSET(DRIPE!$I$10, MATCH('LI Output'!$B76, DRIPE!$I$11:$I$30, 0), MATCH('LI Output'!$B$55, DRIPE!$J$10:$N$10, 0), 1, 1) +
        INDEX(Arrearages!C$5:J$24, MATCH($A76, Arrearages!$B$5:$B$24, 0), MATCH('General Inputs'!$C$2, Arrearages!$C$4:$J$4, 0))),"Data Missing")</f>
        <v>116.1160415787043</v>
      </c>
      <c r="D76" s="17">
        <f ca="1">IFERROR(IF(VALUE(RIGHT($B$55,2))&gt;$A76,0,AVERAGEIFS(Elec_Off_Peak, 'Avoided AC'!$D:$D, $B76, 'Avoided AC'!$E:$E, "Summer") +
        INDEX(AEPS!$S$8:$S$37, MATCH($A76, 'General Inputs'!$F$3:$F$32, 0)) +
        OFFSET(DRIPE!$I$10, MATCH('LI Output'!$B76, DRIPE!$I$11:$I$30, 0), MATCH('LI Output'!$B$55, DRIPE!$J$10:$N$10, 0), 1, 1) +
        INDEX(Arrearages!C$5:J$24, MATCH($A76, Arrearages!$B$5:$B$24, 0), MATCH('General Inputs'!$C$2, Arrearages!$C$4:$J$4, 0))),"Data Missing")</f>
        <v>81.584224720108111</v>
      </c>
      <c r="E76" s="17">
        <f ca="1">IFERROR(IF(VALUE(RIGHT($B$55,2))&gt;$A76,0,AVERAGEIFS(Elec_On_Peak, 'Avoided AC'!$D:$D, $B76, 'Avoided AC'!$E:$E, "Winter") +
        INDEX(AEPS!$S$8:$S$37, MATCH($A76, 'General Inputs'!$F$3:$F$32, 0)) +
        OFFSET(DRIPE!$I$10, MATCH('LI Output'!$B76, DRIPE!$I$11:$I$30, 0), MATCH('LI Output'!$B$55, DRIPE!$J$10:$N$10, 0), 1, 1) +
        INDEX(Arrearages!C$5:J$24, MATCH($A76, Arrearages!$B$5:$B$24, 0), MATCH('General Inputs'!$C$2, Arrearages!$C$4:$J$4, 0))),"Data Missing")</f>
        <v>141.23153754696145</v>
      </c>
      <c r="F76" s="17">
        <f ca="1">IFERROR(IF(VALUE(RIGHT($B$55,2))&gt;$A76,0,AVERAGEIFS(Elec_Off_Peak, 'Avoided AC'!$D:$D, $B76, 'Avoided AC'!$E:$E, "Winter") +
        INDEX(AEPS!$S$8:$S$37, MATCH($A76, 'General Inputs'!$F$3:$F$32, 0)) +
        OFFSET(DRIPE!$I$10, MATCH('LI Output'!$B76, DRIPE!$I$11:$I$30, 0), MATCH('LI Output'!$B$55, DRIPE!$J$10:$N$10, 0), 1, 1) +
        INDEX(Arrearages!C$5:J$24, MATCH($A76, Arrearages!$B$5:$B$24, 0), MATCH('General Inputs'!$C$2, Arrearages!$C$4:$J$4, 0))),"Data Missing")</f>
        <v>118.99688247262625</v>
      </c>
      <c r="G76" s="17">
        <f ca="1">IFERROR(IF(VALUE(RIGHT($B$55,2))&gt;$A76,0,AVERAGEIFS(Elec_On_Peak, 'Avoided AC'!$D:$D, $B76, 'Avoided AC'!$E:$E, "Shoulder") +
        INDEX(AEPS!$S$8:$S$37, MATCH($A76, 'General Inputs'!$F$3:$F$32, 0)) +
        OFFSET(DRIPE!$I$10, MATCH('LI Output'!$B76, DRIPE!$I$11:$I$30, 0), MATCH('LI Output'!$B$55, DRIPE!$J$10:$N$10, 0), 1, 1) +
        INDEX(Arrearages!C$5:J$24, MATCH($A76, Arrearages!$B$5:$B$24, 0), MATCH('General Inputs'!$C$2, Arrearages!$C$4:$J$4, 0))),"Data Missing")</f>
        <v>104.34659634625449</v>
      </c>
      <c r="H76" s="17">
        <f ca="1">IFERROR(IF(VALUE(RIGHT($B$55,2))&gt;$A76,0,AVERAGEIFS(Elec_Off_Peak, 'Avoided AC'!$D:$D, $B76, 'Avoided AC'!$E:$E, "Shoulder") +
        INDEX(AEPS!$S$8:$S$37, MATCH($A76, 'General Inputs'!$F$3:$F$32, 0)) +
        OFFSET(DRIPE!$I$10, MATCH('LI Output'!$B76, DRIPE!$I$11:$I$30, 0), MATCH('LI Output'!$B$55, DRIPE!$J$10:$N$10, 0), 1, 1) +
        INDEX(Arrearages!C$5:J$24, MATCH($A76, Arrearages!$B$5:$B$24, 0), MATCH('General Inputs'!$C$2, Arrearages!$C$4:$J$4, 0))),"Data Missing")</f>
        <v>86.472913660677719</v>
      </c>
      <c r="I76" s="17">
        <f ca="1">(IF(VALUE(RIGHT($B$55,2))&gt;$A76,0,INDEX('Generation Capacity'!$E$27:$K$48,MATCH($A76,'Generation Capacity'!$B$27:$B$48,FALSE),MATCH(EDC_NAME,'Generation Capacity'!$E$26:$K$26,FALSE))+
        OFFSET(DRIPE!$B$35,MATCH('LI Output'!$B76,DRIPE!$B$11:$B$30,0),MATCH('LI Output'!$B$55,DRIPE!$C$10:$G$10,0),1,1)))</f>
        <v>36.085535088982752</v>
      </c>
      <c r="J76" s="17">
        <f ca="1">(IF(VALUE(RIGHT($B$55,2))&gt;$A76,0,INDEX('Generation Capacity'!$E$27:$K$48,MATCH($A76,'Generation Capacity'!$B$27:$B$48,FALSE),MATCH(EDC_NAME,'Generation Capacity'!$E$26:$K$26,FALSE))+
        OFFSET(DRIPE!$I$35,MATCH('LI Output'!$B76,DRIPE!$B$11:$B$30,0),MATCH('LI Output'!$B$55,DRIPE!$C$10:$G$10,0),1,1)))</f>
        <v>36.085535088982752</v>
      </c>
      <c r="K76" s="17">
        <f ca="1">IFERROR(IF(VALUE(RIGHT($B$55,2))&gt;$A76,0,INDEX('T&amp;D Capacity'!$E$4:$K$23,MATCH($A76,'T&amp;D Capacity'!$B$4:$B$23,FALSE),MATCH(EDC_NAME,'T&amp;D Capacity'!$E$3:$K$3,FALSE))),0)</f>
        <v>12.510798499894417</v>
      </c>
      <c r="L76" s="17">
        <f ca="1">IFERROR(IF(VALUE(RIGHT($B$55,2))&gt;$A76,0,INDEX('T&amp;D Capacity'!$E$28:$K$47,MATCH($A76,'T&amp;D Capacity'!$B$28:$B$47,FALSE),MATCH(EDC_NAME,'T&amp;D Capacity'!$E$27:$K$27,FALSE))),0)</f>
        <v>12.510798499894417</v>
      </c>
      <c r="M76" s="17">
        <f ca="1">IFERROR(IF(VALUE(RIGHT($B$55,2))&gt;$A76,0,INDEX('T&amp;D Capacity'!$M$4:$S$23,MATCH($A76,'T&amp;D Capacity'!$B$4:$B$23,FALSE),MATCH(EDC_NAME,'T&amp;D Capacity'!$M$3:$S$3,FALSE))),0)</f>
        <v>81.192042557357169</v>
      </c>
      <c r="N76" s="17">
        <f ca="1">IFERROR(IF(VALUE(RIGHT($B$55,2))&gt;$A76,0,INDEX('T&amp;D Capacity'!$M$28:$S$47,MATCH($A76,'T&amp;D Capacity'!$B$28:$B$47,FALSE),MATCH(EDC_NAME,'T&amp;D Capacity'!$M$27:$S$27,FALSE))),0)</f>
        <v>11.773408652876794</v>
      </c>
      <c r="O76" s="18">
        <f>IFERROR(IF(VALUE(RIGHT($B$55,2))&gt;$A76,0,IFERROR(AVERAGEIF('NG Futures'!$E:$E,$B76,'NG Futures'!$I:$I),"Data Missing")),0)</f>
        <v>5.1747263437160846</v>
      </c>
      <c r="P76" s="324"/>
    </row>
    <row r="77" spans="1:16" s="50" customFormat="1" ht="15" customHeight="1" x14ac:dyDescent="0.2">
      <c r="A77" s="124">
        <f t="shared" ref="A77:B78" si="5">A76+1</f>
        <v>36</v>
      </c>
      <c r="B77" s="124">
        <f t="shared" si="5"/>
        <v>2045</v>
      </c>
      <c r="C77" s="122">
        <f ca="1">IFERROR(IF(VALUE(RIGHT($B$55,2))&gt;$A77,0,AVERAGEIFS(Elec_On_Peak, 'Avoided AC'!$D:$D, $B77, 'Avoided AC'!$E:$E, "Summer") +
        INDEX(AEPS!$S$8:$S$37, MATCH($A77, 'General Inputs'!$F$3:$F$32, 0)) +
        OFFSET(DRIPE!$I$10, MATCH('LI Output'!$B77, DRIPE!$I$11:$I$30, 0), MATCH('LI Output'!$B$55, DRIPE!$J$10:$N$10, 0), 1, 1) +
        INDEX(Arrearages!C$5:J$24, MATCH($A77, Arrearages!$B$5:$B$24, 0), MATCH('General Inputs'!$C$2, Arrearages!$C$4:$J$4, 0))),"Data Missing")</f>
        <v>117.40754999431464</v>
      </c>
      <c r="D77" s="17">
        <f ca="1">IFERROR(IF(VALUE(RIGHT($B$55,2))&gt;$A77,0,AVERAGEIFS(Elec_Off_Peak, 'Avoided AC'!$D:$D, $B77, 'Avoided AC'!$E:$E, "Summer") +
        INDEX(AEPS!$S$8:$S$37, MATCH($A77, 'General Inputs'!$F$3:$F$32, 0)) +
        OFFSET(DRIPE!$I$10, MATCH('LI Output'!$B77, DRIPE!$I$11:$I$30, 0), MATCH('LI Output'!$B$55, DRIPE!$J$10:$N$10, 0), 1, 1) +
        INDEX(Arrearages!C$5:J$24, MATCH($A77, Arrearages!$B$5:$B$24, 0), MATCH('General Inputs'!$C$2, Arrearages!$C$4:$J$4, 0))),"Data Missing")</f>
        <v>82.691481825355112</v>
      </c>
      <c r="E77" s="17">
        <f ca="1">IFERROR(IF(VALUE(RIGHT($B$55,2))&gt;$A77,0,AVERAGEIFS(Elec_On_Peak, 'Avoided AC'!$D:$D, $B77, 'Avoided AC'!$E:$E, "Winter") +
        INDEX(AEPS!$S$8:$S$37, MATCH($A77, 'General Inputs'!$F$3:$F$32, 0)) +
        OFFSET(DRIPE!$I$10, MATCH('LI Output'!$B77, DRIPE!$I$11:$I$30, 0), MATCH('LI Output'!$B$55, DRIPE!$J$10:$N$10, 0), 1, 1) +
        INDEX(Arrearages!C$5:J$24, MATCH($A77, Arrearages!$B$5:$B$24, 0), MATCH('General Inputs'!$C$2, Arrearages!$C$4:$J$4, 0))),"Data Missing")</f>
        <v>143.37125110625209</v>
      </c>
      <c r="F77" s="17">
        <f ca="1">IFERROR(IF(VALUE(RIGHT($B$55,2))&gt;$A77,0,AVERAGEIFS(Elec_Off_Peak, 'Avoided AC'!$D:$D, $B77, 'Avoided AC'!$E:$E, "Winter") +
        INDEX(AEPS!$S$8:$S$37, MATCH($A77, 'General Inputs'!$F$3:$F$32, 0)) +
        OFFSET(DRIPE!$I$10, MATCH('LI Output'!$B77, DRIPE!$I$11:$I$30, 0), MATCH('LI Output'!$B$55, DRIPE!$J$10:$N$10, 0), 1, 1) +
        INDEX(Arrearages!C$5:J$24, MATCH($A77, Arrearages!$B$5:$B$24, 0), MATCH('General Inputs'!$C$2, Arrearages!$C$4:$J$4, 0))),"Data Missing")</f>
        <v>120.68827069948665</v>
      </c>
      <c r="G77" s="17">
        <f ca="1">IFERROR(IF(VALUE(RIGHT($B$55,2))&gt;$A77,0,AVERAGEIFS(Elec_On_Peak, 'Avoided AC'!$D:$D, $B77, 'Avoided AC'!$E:$E, "Shoulder") +
        INDEX(AEPS!$S$8:$S$37, MATCH($A77, 'General Inputs'!$F$3:$F$32, 0)) +
        OFFSET(DRIPE!$I$10, MATCH('LI Output'!$B77, DRIPE!$I$11:$I$30, 0), MATCH('LI Output'!$B$55, DRIPE!$J$10:$N$10, 0), 1, 1) +
        INDEX(Arrearages!C$5:J$24, MATCH($A77, Arrearages!$B$5:$B$24, 0), MATCH('General Inputs'!$C$2, Arrearages!$C$4:$J$4, 0))),"Data Missing")</f>
        <v>105.72797903546603</v>
      </c>
      <c r="H77" s="17">
        <f ca="1">IFERROR(IF(VALUE(RIGHT($B$55,2))&gt;$A77,0,AVERAGEIFS(Elec_Off_Peak, 'Avoided AC'!$D:$D, $B77, 'Avoided AC'!$E:$E, "Shoulder") +
        INDEX(AEPS!$S$8:$S$37, MATCH($A77, 'General Inputs'!$F$3:$F$32, 0)) +
        OFFSET(DRIPE!$I$10, MATCH('LI Output'!$B77, DRIPE!$I$11:$I$30, 0), MATCH('LI Output'!$B$55, DRIPE!$J$10:$N$10, 0), 1, 1) +
        INDEX(Arrearages!C$5:J$24, MATCH($A77, Arrearages!$B$5:$B$24, 0), MATCH('General Inputs'!$C$2, Arrearages!$C$4:$J$4, 0))),"Data Missing")</f>
        <v>87.642064236665846</v>
      </c>
      <c r="I77" s="17">
        <f ca="1">(IF(VALUE(RIGHT($B$55,2))&gt;$A77,0,INDEX('Generation Capacity'!$E$27:$K$48,MATCH($A77,'Generation Capacity'!$B$27:$B$48,FALSE),MATCH(EDC_NAME,'Generation Capacity'!$E$26:$K$26,FALSE))+
        OFFSET(DRIPE!$B$35,MATCH('LI Output'!$B77,DRIPE!$B$11:$B$30,0),MATCH('LI Output'!$B$55,DRIPE!$C$10:$G$10,0),1,1)))</f>
        <v>36.83306259830416</v>
      </c>
      <c r="J77" s="17">
        <f ca="1">(IF(VALUE(RIGHT($B$55,2))&gt;$A77,0,INDEX('Generation Capacity'!$E$27:$K$48,MATCH($A77,'Generation Capacity'!$B$27:$B$48,FALSE),MATCH(EDC_NAME,'Generation Capacity'!$E$26:$K$26,FALSE))+
        OFFSET(DRIPE!$I$35,MATCH('LI Output'!$B77,DRIPE!$B$11:$B$30,0),MATCH('LI Output'!$B$55,DRIPE!$C$10:$G$10,0),1,1)))</f>
        <v>36.83306259830416</v>
      </c>
      <c r="K77" s="17">
        <f ca="1">IFERROR(IF(VALUE(RIGHT($B$55,2))&gt;$A77,0,INDEX('T&amp;D Capacity'!$E$4:$K$23,MATCH($A77,'T&amp;D Capacity'!$B$4:$B$23,FALSE),MATCH(EDC_NAME,'T&amp;D Capacity'!$E$3:$K$3,FALSE))),0)</f>
        <v>12.769965116633969</v>
      </c>
      <c r="L77" s="17">
        <f ca="1">IFERROR(IF(VALUE(RIGHT($B$55,2))&gt;$A77,0,INDEX('T&amp;D Capacity'!$E$28:$K$47,MATCH($A77,'T&amp;D Capacity'!$B$28:$B$47,FALSE),MATCH(EDC_NAME,'T&amp;D Capacity'!$E$27:$K$27,FALSE))),0)</f>
        <v>12.769965116633969</v>
      </c>
      <c r="M77" s="17">
        <f ca="1">IFERROR(IF(VALUE(RIGHT($B$55,2))&gt;$A77,0,INDEX('T&amp;D Capacity'!$M$4:$S$23,MATCH($A77,'T&amp;D Capacity'!$B$4:$B$23,FALSE),MATCH(EDC_NAME,'T&amp;D Capacity'!$M$3:$S$3,FALSE))),0)</f>
        <v>82.873970931148946</v>
      </c>
      <c r="N77" s="17">
        <f ca="1">IFERROR(IF(VALUE(RIGHT($B$55,2))&gt;$A77,0,INDEX('T&amp;D Capacity'!$M$28:$S$47,MATCH($A77,'T&amp;D Capacity'!$B$28:$B$47,FALSE),MATCH(EDC_NAME,'T&amp;D Capacity'!$M$27:$S$27,FALSE))),0)</f>
        <v>12.017299919136418</v>
      </c>
      <c r="O77" s="18">
        <f>IFERROR(IF(VALUE(RIGHT($B$55,2))&gt;$A77,0,IFERROR(AVERAGEIF('NG Futures'!$E:$E,$B77,'NG Futures'!$I:$I),"Data Missing")),0)</f>
        <v>5.2503223688083311</v>
      </c>
      <c r="P77" s="324"/>
    </row>
    <row r="78" spans="1:16" s="50" customFormat="1" ht="15" customHeight="1" x14ac:dyDescent="0.2">
      <c r="A78" s="124">
        <f t="shared" si="5"/>
        <v>37</v>
      </c>
      <c r="B78" s="124">
        <f t="shared" si="5"/>
        <v>2046</v>
      </c>
      <c r="C78" s="122">
        <f ca="1">IFERROR(IF(VALUE(RIGHT($B$55,2))&gt;$A78,0,AVERAGEIFS(Elec_On_Peak, 'Avoided AC'!$D:$D, $B78, 'Avoided AC'!$E:$E, "Summer") +
        INDEX(AEPS!$S$8:$S$37, MATCH($A78, 'General Inputs'!$F$3:$F$32, 0)) +
        OFFSET(DRIPE!$I$10, MATCH('LI Output'!$B78, DRIPE!$I$11:$I$30, 0), MATCH('LI Output'!$B$55, DRIPE!$J$10:$N$10, 0), 1, 1) +
        INDEX(Arrearages!C$5:J$24, MATCH($A78, Arrearages!$B$5:$B$24, 0), MATCH('General Inputs'!$C$2, Arrearages!$C$4:$J$4, 0))),"Data Missing")</f>
        <v>119.74959274908434</v>
      </c>
      <c r="D78" s="17">
        <f ca="1">IFERROR(IF(VALUE(RIGHT($B$55,2))&gt;$A78,0,AVERAGEIFS(Elec_Off_Peak, 'Avoided AC'!$D:$D, $B78, 'Avoided AC'!$E:$E, "Summer") +
        INDEX(AEPS!$S$8:$S$37, MATCH($A78, 'General Inputs'!$F$3:$F$32, 0)) +
        OFFSET(DRIPE!$I$10, MATCH('LI Output'!$B78, DRIPE!$I$11:$I$30, 0), MATCH('LI Output'!$B$55, DRIPE!$J$10:$N$10, 0), 1, 1) +
        INDEX(Arrearages!C$5:J$24, MATCH($A78, Arrearages!$B$5:$B$24, 0), MATCH('General Inputs'!$C$2, Arrearages!$C$4:$J$4, 0))),"Data Missing")</f>
        <v>84.526564297707495</v>
      </c>
      <c r="E78" s="17">
        <f ca="1">IFERROR(IF(VALUE(RIGHT($B$55,2))&gt;$A78,0,AVERAGEIFS(Elec_On_Peak, 'Avoided AC'!$D:$D, $B78, 'Avoided AC'!$E:$E, "Winter") +
        INDEX(AEPS!$S$8:$S$37, MATCH($A78, 'General Inputs'!$F$3:$F$32, 0)) +
        OFFSET(DRIPE!$I$10, MATCH('LI Output'!$B78, DRIPE!$I$11:$I$30, 0), MATCH('LI Output'!$B$55, DRIPE!$J$10:$N$10, 0), 1, 1) +
        INDEX(Arrearages!C$5:J$24, MATCH($A78, Arrearages!$B$5:$B$24, 0), MATCH('General Inputs'!$C$2, Arrearages!$C$4:$J$4, 0))),"Data Missing")</f>
        <v>148.04709717748125</v>
      </c>
      <c r="F78" s="17">
        <f ca="1">IFERROR(IF(VALUE(RIGHT($B$55,2))&gt;$A78,0,AVERAGEIFS(Elec_Off_Peak, 'Avoided AC'!$D:$D, $B78, 'Avoided AC'!$E:$E, "Winter") +
        INDEX(AEPS!$S$8:$S$37, MATCH($A78, 'General Inputs'!$F$3:$F$32, 0)) +
        OFFSET(DRIPE!$I$10, MATCH('LI Output'!$B78, DRIPE!$I$11:$I$30, 0), MATCH('LI Output'!$B$55, DRIPE!$J$10:$N$10, 0), 1, 1) +
        INDEX(Arrearages!C$5:J$24, MATCH($A78, Arrearages!$B$5:$B$24, 0), MATCH('General Inputs'!$C$2, Arrearages!$C$4:$J$4, 0))),"Data Missing")</f>
        <v>124.13056713301998</v>
      </c>
      <c r="G78" s="17">
        <f ca="1">IFERROR(IF(VALUE(RIGHT($B$55,2))&gt;$A78,0,AVERAGEIFS(Elec_On_Peak, 'Avoided AC'!$D:$D, $B78, 'Avoided AC'!$E:$E, "Shoulder") +
        INDEX(AEPS!$S$8:$S$37, MATCH($A78, 'General Inputs'!$F$3:$F$32, 0)) +
        OFFSET(DRIPE!$I$10, MATCH('LI Output'!$B78, DRIPE!$I$11:$I$30, 0), MATCH('LI Output'!$B$55, DRIPE!$J$10:$N$10, 0), 1, 1) +
        INDEX(Arrearages!C$5:J$24, MATCH($A78, Arrearages!$B$5:$B$24, 0), MATCH('General Inputs'!$C$2, Arrearages!$C$4:$J$4, 0))),"Data Missing")</f>
        <v>108.31730734297922</v>
      </c>
      <c r="H78" s="17">
        <f ca="1">IFERROR(IF(VALUE(RIGHT($B$55,2))&gt;$A78,0,AVERAGEIFS(Elec_Off_Peak, 'Avoided AC'!$D:$D, $B78, 'Avoided AC'!$E:$E, "Shoulder") +
        INDEX(AEPS!$S$8:$S$37, MATCH($A78, 'General Inputs'!$F$3:$F$32, 0)) +
        OFFSET(DRIPE!$I$10, MATCH('LI Output'!$B78, DRIPE!$I$11:$I$30, 0), MATCH('LI Output'!$B$55, DRIPE!$J$10:$N$10, 0), 1, 1) +
        INDEX(Arrearages!C$5:J$24, MATCH($A78, Arrearages!$B$5:$B$24, 0), MATCH('General Inputs'!$C$2, Arrearages!$C$4:$J$4, 0))),"Data Missing")</f>
        <v>89.647444175803315</v>
      </c>
      <c r="I78" s="17">
        <f ca="1">(IF(VALUE(RIGHT($B$55,2))&gt;$A78,0,INDEX('Generation Capacity'!$E$27:$K$48,MATCH($A78,'Generation Capacity'!$B$27:$B$48,FALSE),MATCH(EDC_NAME,'Generation Capacity'!$E$26:$K$26,FALSE))+
        OFFSET(DRIPE!$B$35,MATCH('LI Output'!$B78,DRIPE!$B$11:$B$30,0),MATCH('LI Output'!$B$55,DRIPE!$C$10:$G$10,0),1,1)))</f>
        <v>37.596075464176728</v>
      </c>
      <c r="J78" s="17">
        <f ca="1">(IF(VALUE(RIGHT($B$55,2))&gt;$A78,0,INDEX('Generation Capacity'!$E$27:$K$48,MATCH($A78,'Generation Capacity'!$B$27:$B$48,FALSE),MATCH(EDC_NAME,'Generation Capacity'!$E$26:$K$26,FALSE))+
        OFFSET(DRIPE!$I$35,MATCH('LI Output'!$B78,DRIPE!$B$11:$B$30,0),MATCH('LI Output'!$B$55,DRIPE!$C$10:$G$10,0),1,1)))</f>
        <v>37.596075464176728</v>
      </c>
      <c r="K78" s="17">
        <f ca="1">IFERROR(IF(VALUE(RIGHT($B$55,2))&gt;$A78,0,INDEX('T&amp;D Capacity'!$E$4:$K$23,MATCH($A78,'T&amp;D Capacity'!$B$4:$B$23,FALSE),MATCH(EDC_NAME,'T&amp;D Capacity'!$E$3:$K$3,FALSE))),0)</f>
        <v>13.034500482237377</v>
      </c>
      <c r="L78" s="17">
        <f ca="1">IFERROR(IF(VALUE(RIGHT($B$55,2))&gt;$A78,0,INDEX('T&amp;D Capacity'!$E$28:$K$47,MATCH($A78,'T&amp;D Capacity'!$B$28:$B$47,FALSE),MATCH(EDC_NAME,'T&amp;D Capacity'!$E$27:$K$27,FALSE))),0)</f>
        <v>13.034500482237377</v>
      </c>
      <c r="M78" s="17">
        <f ca="1">IFERROR(IF(VALUE(RIGHT($B$55,2))&gt;$A78,0,INDEX('T&amp;D Capacity'!$M$4:$S$23,MATCH($A78,'T&amp;D Capacity'!$B$4:$B$23,FALSE),MATCH(EDC_NAME,'T&amp;D Capacity'!$M$3:$S$3,FALSE))),0)</f>
        <v>84.590741180640151</v>
      </c>
      <c r="N78" s="17">
        <f ca="1">IFERROR(IF(VALUE(RIGHT($B$55,2))&gt;$A78,0,INDEX('T&amp;D Capacity'!$M$28:$S$47,MATCH($A78,'T&amp;D Capacity'!$B$28:$B$47,FALSE),MATCH(EDC_NAME,'T&amp;D Capacity'!$M$27:$S$27,FALSE))),0)</f>
        <v>12.266243498749931</v>
      </c>
      <c r="O78" s="18">
        <f>IFERROR(IF(VALUE(RIGHT($B$55,2))&gt;$A78,0,IFERROR(AVERAGEIF('NG Futures'!$E:$E,$B78,'NG Futures'!$I:$I),"Data Missing")),0)</f>
        <v>5.4583218785801444</v>
      </c>
      <c r="P78" s="325"/>
    </row>
    <row r="79" spans="1:16" s="50" customFormat="1" ht="15" customHeight="1" x14ac:dyDescent="0.2"/>
    <row r="80" spans="1:16" s="50" customFormat="1" ht="15" customHeight="1" x14ac:dyDescent="0.2"/>
    <row r="81" spans="1:16" s="50" customFormat="1" ht="15" customHeight="1" x14ac:dyDescent="0.2"/>
    <row r="82" spans="1:16" s="50" customFormat="1" ht="15" customHeight="1" x14ac:dyDescent="0.2">
      <c r="A82" s="26" t="s">
        <v>115</v>
      </c>
      <c r="B82" s="27" t="s">
        <v>132</v>
      </c>
    </row>
    <row r="83" spans="1:16" s="50" customFormat="1" ht="15" customHeight="1" x14ac:dyDescent="0.2">
      <c r="A83" s="84"/>
      <c r="B83" s="84"/>
      <c r="C83" s="312"/>
      <c r="D83" s="312"/>
      <c r="E83" s="312"/>
      <c r="F83" s="312"/>
      <c r="G83" s="312"/>
      <c r="H83" s="312"/>
      <c r="I83" s="312"/>
      <c r="J83" s="312"/>
      <c r="K83" s="312"/>
      <c r="L83" s="312"/>
      <c r="M83" s="312"/>
      <c r="N83" s="312"/>
    </row>
    <row r="84" spans="1:16" s="50" customFormat="1" ht="42.6" customHeight="1" x14ac:dyDescent="0.2">
      <c r="A84" s="51"/>
      <c r="B84" s="51"/>
      <c r="C84" s="313" t="str">
        <f>EDC_NAME&amp;" Zone Summer ($/MWh)"</f>
        <v>West Penn Zone Summer ($/MWh)</v>
      </c>
      <c r="D84" s="313"/>
      <c r="E84" s="313" t="str">
        <f>EDC_NAME&amp;" Zone Winter ($/MWh)"</f>
        <v>West Penn Zone Winter ($/MWh)</v>
      </c>
      <c r="F84" s="313"/>
      <c r="G84" s="313" t="str">
        <f>EDC_NAME&amp;" DLC Zone Shoulder ($/MWh)"</f>
        <v>West Penn DLC Zone Shoulder ($/MWh)</v>
      </c>
      <c r="H84" s="313"/>
      <c r="I84" s="314" t="str">
        <f>EDC_NAME&amp;" Generation Capacity
($/kW/year)"</f>
        <v>West Penn Generation Capacity
($/kW/year)</v>
      </c>
      <c r="J84" s="315"/>
      <c r="K84" s="316" t="str">
        <f>EDC_NAME&amp;" Transmission Capacity
($/kW/year)"</f>
        <v>West Penn Transmission Capacity
($/kW/year)</v>
      </c>
      <c r="L84" s="316"/>
      <c r="M84" s="316" t="str">
        <f>EDC_NAME&amp;" Distribution Capacity
($/kW/year)"</f>
        <v>West Penn Distribution Capacity
($/kW/year)</v>
      </c>
      <c r="N84" s="316"/>
      <c r="O84" s="326" t="s">
        <v>118</v>
      </c>
      <c r="P84" s="51"/>
    </row>
    <row r="85" spans="1:16" s="50" customFormat="1" ht="50.1" customHeight="1" x14ac:dyDescent="0.2">
      <c r="A85" s="116" t="s">
        <v>119</v>
      </c>
      <c r="B85" s="116" t="s">
        <v>120</v>
      </c>
      <c r="C85" s="118" t="s">
        <v>121</v>
      </c>
      <c r="D85" s="118" t="s">
        <v>122</v>
      </c>
      <c r="E85" s="118" t="s">
        <v>123</v>
      </c>
      <c r="F85" s="118" t="s">
        <v>124</v>
      </c>
      <c r="G85" s="118" t="s">
        <v>125</v>
      </c>
      <c r="H85" s="118" t="s">
        <v>126</v>
      </c>
      <c r="I85" s="284" t="s">
        <v>107</v>
      </c>
      <c r="J85" s="284" t="s">
        <v>101</v>
      </c>
      <c r="K85" s="284" t="s">
        <v>107</v>
      </c>
      <c r="L85" s="284" t="s">
        <v>101</v>
      </c>
      <c r="M85" s="284" t="s">
        <v>107</v>
      </c>
      <c r="N85" s="284" t="s">
        <v>101</v>
      </c>
      <c r="O85" s="327"/>
    </row>
    <row r="86" spans="1:16" s="50" customFormat="1" ht="15" customHeight="1" x14ac:dyDescent="0.2">
      <c r="A86" s="123">
        <v>18</v>
      </c>
      <c r="B86" s="124">
        <f>Start_Year</f>
        <v>2027</v>
      </c>
      <c r="C86" s="119">
        <f ca="1">IFERROR(IF(VALUE(RIGHT($B$82,2))&gt;$A86,0,AVERAGEIFS(Elec_On_Peak, 'Avoided AC'!$D:$D, $B86, 'Avoided AC'!$E:$E, "Summer") +
        INDEX(AEPS!$S$8:$S$37, MATCH($A86, 'General Inputs'!$F$3:$F$32, 0)) +
        OFFSET(DRIPE!$I$10, MATCH('LI Output'!$B86, DRIPE!$I$11:$I$30, 0), MATCH('LI Output'!$B$82, DRIPE!$J$10:$N$10, 0), 1, 1) +
        INDEX(Arrearages!C$5:J$24, MATCH($A86, Arrearages!$B$5:$B$24, 0), MATCH('General Inputs'!$C$2, Arrearages!$C$4:$J$4, 0))),"Data Missing")</f>
        <v>0</v>
      </c>
      <c r="D86" s="117">
        <f ca="1">IFERROR(IF(VALUE(RIGHT($B$82,2))&gt;$A86,0,AVERAGEIFS(Elec_Off_Peak, 'Avoided AC'!$D:$D, $B86, 'Avoided AC'!$E:$E, "Summer") +
        INDEX(AEPS!$S$8:$S$37, MATCH($A86, 'General Inputs'!$F$3:$F$32, 0)) +
        OFFSET(DRIPE!$I$10, MATCH('LI Output'!$B86, DRIPE!$I$11:$I$30, 0), MATCH('LI Output'!$B$82, DRIPE!$J$10:$N$10, 0), 1, 1) +
        INDEX(Arrearages!C$5:J$24, MATCH($A86, Arrearages!$B$5:$B$24, 0), MATCH('General Inputs'!$C$2, Arrearages!$C$4:$J$4, 0))),"Data Missing")</f>
        <v>0</v>
      </c>
      <c r="E86" s="117">
        <f ca="1">IFERROR(IF(VALUE(RIGHT($B$82,2))&gt;$A86,0,AVERAGEIFS(Elec_On_Peak, 'Avoided AC'!$D:$D, $B86, 'Avoided AC'!$E:$E, "Winter") +
        INDEX(AEPS!$S$8:$S$37, MATCH($A86, 'General Inputs'!$F$3:$F$32, 0)) +
        OFFSET(DRIPE!$I$10, MATCH('LI Output'!$B86, DRIPE!$I$11:$I$30, 0), MATCH('LI Output'!$B$82, DRIPE!$J$10:$N$10, 0), 1, 1) +
        INDEX(Arrearages!C$5:J$24, MATCH($A86, Arrearages!$B$5:$B$24, 0), MATCH('General Inputs'!$C$2, Arrearages!$C$4:$J$4, 0))),"Data Missing")</f>
        <v>0</v>
      </c>
      <c r="F86" s="117">
        <f ca="1">IFERROR(IF(VALUE(RIGHT($B$82,2))&gt;$A86,0,AVERAGEIFS(Elec_Off_Peak, 'Avoided AC'!$D:$D, $B86, 'Avoided AC'!$E:$E, "Winter") +
        INDEX(AEPS!$S$8:$S$37, MATCH($A86, 'General Inputs'!$F$3:$F$32, 0)) +
        OFFSET(DRIPE!$I$10, MATCH('LI Output'!$B86, DRIPE!$I$11:$I$30, 0), MATCH('LI Output'!$B$82, DRIPE!$J$10:$N$10, 0), 1, 1) +
        INDEX(Arrearages!C$5:J$24, MATCH($A86, Arrearages!$B$5:$B$24, 0), MATCH('General Inputs'!$C$2, Arrearages!$C$4:$J$4, 0))),"Data Missing")</f>
        <v>0</v>
      </c>
      <c r="G86" s="117">
        <f ca="1">IFERROR(IF(VALUE(RIGHT($B$82,2))&gt;$A86,0,AVERAGEIFS(Elec_On_Peak, 'Avoided AC'!$D:$D, $B86, 'Avoided AC'!$E:$E, "Shoulder") +
        INDEX(AEPS!$S$8:$S$37, MATCH($A86, 'General Inputs'!$F$3:$F$32, 0)) +
        OFFSET(DRIPE!$I$10, MATCH('LI Output'!$B86, DRIPE!$I$11:$I$30, 0), MATCH('LI Output'!$B$82, DRIPE!$J$10:$N$10, 0), 1, 1) +
        INDEX(Arrearages!C$5:J$24, MATCH($A86, Arrearages!$B$5:$B$24, 0), MATCH('General Inputs'!$C$2, Arrearages!$C$4:$J$4, 0))),"Data Missing")</f>
        <v>0</v>
      </c>
      <c r="H86" s="117">
        <f ca="1">IFERROR(IF(VALUE(RIGHT($B$82,2))&gt;$A86,0,AVERAGEIFS(Elec_Off_Peak, 'Avoided AC'!$D:$D, $B86, 'Avoided AC'!$E:$E, "Shoulder") +
        INDEX(AEPS!$S$8:$S$37, MATCH($A86, 'General Inputs'!$F$3:$F$32, 0)) +
        OFFSET(DRIPE!$I$10, MATCH('LI Output'!$B86, DRIPE!$I$11:$I$30, 0), MATCH('LI Output'!$B$82, DRIPE!$J$10:$N$10, 0), 1, 1) +
        INDEX(Arrearages!C$5:J$24, MATCH($A86, Arrearages!$B$5:$B$24, 0), MATCH('General Inputs'!$C$2, Arrearages!$C$4:$J$4, 0))),"Data Missing")</f>
        <v>0</v>
      </c>
      <c r="I86" s="117">
        <f ca="1">(IF(VALUE(RIGHT($B$82,2))&gt;$A86,0,INDEX('Generation Capacity'!$E$27:$K$48,MATCH($A86,'Generation Capacity'!$B$27:$B$48,FALSE),MATCH(EDC_NAME,'Generation Capacity'!$E$26:$K$26,FALSE))+
        OFFSET(DRIPE!$B$35,MATCH('LI Output'!$B86,DRIPE!$B$11:$B$30,0),MATCH('LI Output'!$B$82,DRIPE!$C$10:$G$10,0),1,1)))</f>
        <v>0</v>
      </c>
      <c r="J86" s="117">
        <f ca="1">(IF(VALUE(RIGHT($B$82,2))&gt;$A86,0,INDEX('Generation Capacity'!$E$27:$K$48,MATCH($A86,'Generation Capacity'!$B$27:$B$48,FALSE),MATCH(EDC_NAME,'Generation Capacity'!$E$26:$K$26,FALSE))+
        OFFSET(DRIPE!$I$35,MATCH('LI Output'!$B86,DRIPE!$B$11:$B$30,0),MATCH('LI Output'!$B$82,DRIPE!$C$10:$G$10,0),1,1)))</f>
        <v>0</v>
      </c>
      <c r="K86" s="117">
        <f>IFERROR(IF(VALUE(RIGHT($B$82,2))&gt;$A86,0,INDEX('T&amp;D Capacity'!$E$4:$K$23,MATCH($A86,'T&amp;D Capacity'!$B$4:$B$23,FALSE),MATCH(EDC_NAME,'T&amp;D Capacity'!$E$3:$K$3,FALSE))),0)</f>
        <v>0</v>
      </c>
      <c r="L86" s="117">
        <f>IFERROR(IF(VALUE(RIGHT($B$82,2))&gt;$A86,0,INDEX('T&amp;D Capacity'!$E$28:$K$47,MATCH($A86,'T&amp;D Capacity'!$B$28:$B$47,FALSE),MATCH(EDC_NAME,'T&amp;D Capacity'!$E$27:$K$27,FALSE))),0)</f>
        <v>0</v>
      </c>
      <c r="M86" s="117">
        <f>IFERROR(IF(VALUE(RIGHT($B$82,2))&gt;$A86,0,INDEX('T&amp;D Capacity'!$M$4:$S$23,MATCH($A86,'T&amp;D Capacity'!$B$4:$B$23,FALSE),MATCH(EDC_NAME,'T&amp;D Capacity'!$M$3:$S$3,FALSE))),0)</f>
        <v>0</v>
      </c>
      <c r="N86" s="117">
        <f>IFERROR(IF(VALUE(RIGHT($B$82,2))&gt;$A86,0,INDEX('T&amp;D Capacity'!$M$28:$S$47,MATCH($A86,'T&amp;D Capacity'!$B$28:$B$47,FALSE),MATCH(EDC_NAME,'T&amp;D Capacity'!$M$27:$S$27,FALSE))),0)</f>
        <v>0</v>
      </c>
      <c r="O86" s="57">
        <f>IFERROR(IF(VALUE(RIGHT($B$82,2))&gt;$A86,0,IFERROR(AVERAGEIF('NG Futures'!$E:$E,$B86,'NG Futures'!$I:$I),"Data Missing")),0)</f>
        <v>0</v>
      </c>
      <c r="P86" s="317" t="s">
        <v>127</v>
      </c>
    </row>
    <row r="87" spans="1:16" s="50" customFormat="1" ht="15" customHeight="1" x14ac:dyDescent="0.2">
      <c r="A87" s="124">
        <f>A86+1</f>
        <v>19</v>
      </c>
      <c r="B87" s="124">
        <f>B86+1</f>
        <v>2028</v>
      </c>
      <c r="C87" s="120">
        <f ca="1">IFERROR(IF(VALUE(RIGHT($B$82,2))&gt;$A87,0,AVERAGEIFS(Elec_On_Peak, 'Avoided AC'!$D:$D, $B87, 'Avoided AC'!$E:$E, "Summer") +
        INDEX(AEPS!$S$8:$S$37, MATCH($A87, 'General Inputs'!$F$3:$F$32, 0)) +
        OFFSET(DRIPE!$I$10, MATCH('LI Output'!$B87, DRIPE!$I$11:$I$30, 0), MATCH('LI Output'!$B$82, DRIPE!$J$10:$N$10, 0), 1, 1) +
        INDEX(Arrearages!C$5:J$24, MATCH($A87, Arrearages!$B$5:$B$24, 0), MATCH('General Inputs'!$C$2, Arrearages!$C$4:$J$4, 0))),"Data Missing")</f>
        <v>0</v>
      </c>
      <c r="D87" s="14">
        <f ca="1">IFERROR(IF(VALUE(RIGHT($B$82,2))&gt;$A87,0,AVERAGEIFS(Elec_Off_Peak, 'Avoided AC'!$D:$D, $B87, 'Avoided AC'!$E:$E, "Summer") +
        INDEX(AEPS!$S$8:$S$37, MATCH($A87, 'General Inputs'!$F$3:$F$32, 0)) +
        OFFSET(DRIPE!$I$10, MATCH('LI Output'!$B87, DRIPE!$I$11:$I$30, 0), MATCH('LI Output'!$B$82, DRIPE!$J$10:$N$10, 0), 1, 1) +
        INDEX(Arrearages!C$5:J$24, MATCH($A87, Arrearages!$B$5:$B$24, 0), MATCH('General Inputs'!$C$2, Arrearages!$C$4:$J$4, 0))),"Data Missing")</f>
        <v>0</v>
      </c>
      <c r="E87" s="14">
        <f ca="1">IFERROR(IF(VALUE(RIGHT($B$82,2))&gt;$A87,0,AVERAGEIFS(Elec_On_Peak, 'Avoided AC'!$D:$D, $B87, 'Avoided AC'!$E:$E, "Winter") +
        INDEX(AEPS!$S$8:$S$37, MATCH($A87, 'General Inputs'!$F$3:$F$32, 0)) +
        OFFSET(DRIPE!$I$10, MATCH('LI Output'!$B87, DRIPE!$I$11:$I$30, 0), MATCH('LI Output'!$B$82, DRIPE!$J$10:$N$10, 0), 1, 1) +
        INDEX(Arrearages!C$5:J$24, MATCH($A87, Arrearages!$B$5:$B$24, 0), MATCH('General Inputs'!$C$2, Arrearages!$C$4:$J$4, 0))),"Data Missing")</f>
        <v>0</v>
      </c>
      <c r="F87" s="14">
        <f ca="1">IFERROR(IF(VALUE(RIGHT($B$82,2))&gt;$A87,0,AVERAGEIFS(Elec_Off_Peak, 'Avoided AC'!$D:$D, $B87, 'Avoided AC'!$E:$E, "Winter") +
        INDEX(AEPS!$S$8:$S$37, MATCH($A87, 'General Inputs'!$F$3:$F$32, 0)) +
        OFFSET(DRIPE!$I$10, MATCH('LI Output'!$B87, DRIPE!$I$11:$I$30, 0), MATCH('LI Output'!$B$82, DRIPE!$J$10:$N$10, 0), 1, 1) +
        INDEX(Arrearages!C$5:J$24, MATCH($A87, Arrearages!$B$5:$B$24, 0), MATCH('General Inputs'!$C$2, Arrearages!$C$4:$J$4, 0))),"Data Missing")</f>
        <v>0</v>
      </c>
      <c r="G87" s="14">
        <f ca="1">IFERROR(IF(VALUE(RIGHT($B$82,2))&gt;$A87,0,AVERAGEIFS(Elec_On_Peak, 'Avoided AC'!$D:$D, $B87, 'Avoided AC'!$E:$E, "Shoulder") +
        INDEX(AEPS!$S$8:$S$37, MATCH($A87, 'General Inputs'!$F$3:$F$32, 0)) +
        OFFSET(DRIPE!$I$10, MATCH('LI Output'!$B87, DRIPE!$I$11:$I$30, 0), MATCH('LI Output'!$B$82, DRIPE!$J$10:$N$10, 0), 1, 1) +
        INDEX(Arrearages!C$5:J$24, MATCH($A87, Arrearages!$B$5:$B$24, 0), MATCH('General Inputs'!$C$2, Arrearages!$C$4:$J$4, 0))),"Data Missing")</f>
        <v>0</v>
      </c>
      <c r="H87" s="14">
        <f ca="1">IFERROR(IF(VALUE(RIGHT($B$82,2))&gt;$A87,0,AVERAGEIFS(Elec_Off_Peak, 'Avoided AC'!$D:$D, $B87, 'Avoided AC'!$E:$E, "Shoulder") +
        INDEX(AEPS!$S$8:$S$37, MATCH($A87, 'General Inputs'!$F$3:$F$32, 0)) +
        OFFSET(DRIPE!$I$10, MATCH('LI Output'!$B87, DRIPE!$I$11:$I$30, 0), MATCH('LI Output'!$B$82, DRIPE!$J$10:$N$10, 0), 1, 1) +
        INDEX(Arrearages!C$5:J$24, MATCH($A87, Arrearages!$B$5:$B$24, 0), MATCH('General Inputs'!$C$2, Arrearages!$C$4:$J$4, 0))),"Data Missing")</f>
        <v>0</v>
      </c>
      <c r="I87" s="14">
        <f ca="1">(IF(VALUE(RIGHT($B$82,2))&gt;$A87,0,INDEX('Generation Capacity'!$E$27:$K$48,MATCH($A87,'Generation Capacity'!$B$27:$B$48,FALSE),MATCH(EDC_NAME,'Generation Capacity'!$E$26:$K$26,FALSE))+
        OFFSET(DRIPE!$B$35,MATCH('LI Output'!$B87,DRIPE!$B$11:$B$30,0),MATCH('LI Output'!$B$82,DRIPE!$C$10:$G$10,0),1,1)))</f>
        <v>0</v>
      </c>
      <c r="J87" s="14">
        <f ca="1">(IF(VALUE(RIGHT($B$82,2))&gt;$A87,0,INDEX('Generation Capacity'!$E$27:$K$48,MATCH($A87,'Generation Capacity'!$B$27:$B$48,FALSE),MATCH(EDC_NAME,'Generation Capacity'!$E$26:$K$26,FALSE))+
        OFFSET(DRIPE!$I$35,MATCH('LI Output'!$B87,DRIPE!$B$11:$B$30,0),MATCH('LI Output'!$B$82,DRIPE!$C$10:$G$10,0),1,1)))</f>
        <v>0</v>
      </c>
      <c r="K87" s="14">
        <f>IFERROR(IF(VALUE(RIGHT($B$82,2))&gt;$A87,0,INDEX('T&amp;D Capacity'!$E$4:$K$23,MATCH($A87,'T&amp;D Capacity'!$B$4:$B$23,FALSE),MATCH(EDC_NAME,'T&amp;D Capacity'!$E$3:$K$3,FALSE))),0)</f>
        <v>0</v>
      </c>
      <c r="L87" s="14">
        <f>IFERROR(IF(VALUE(RIGHT($B$82,2))&gt;$A87,0,INDEX('T&amp;D Capacity'!$E$28:$K$47,MATCH($A87,'T&amp;D Capacity'!$B$28:$B$47,FALSE),MATCH(EDC_NAME,'T&amp;D Capacity'!$E$27:$K$27,FALSE))),0)</f>
        <v>0</v>
      </c>
      <c r="M87" s="14">
        <f>IFERROR(IF(VALUE(RIGHT($B$82,2))&gt;$A87,0,INDEX('T&amp;D Capacity'!$M$4:$S$23,MATCH($A87,'T&amp;D Capacity'!$B$4:$B$23,FALSE),MATCH(EDC_NAME,'T&amp;D Capacity'!$M$3:$S$3,FALSE))),0)</f>
        <v>0</v>
      </c>
      <c r="N87" s="14">
        <f>IFERROR(IF(VALUE(RIGHT($B$82,2))&gt;$A87,0,INDEX('T&amp;D Capacity'!$M$28:$S$47,MATCH($A87,'T&amp;D Capacity'!$B$28:$B$47,FALSE),MATCH(EDC_NAME,'T&amp;D Capacity'!$M$27:$S$27,FALSE))),0)</f>
        <v>0</v>
      </c>
      <c r="O87" s="57">
        <f>IFERROR(IF(VALUE(RIGHT($B$82,2))&gt;$A87,0,IFERROR(AVERAGEIF('NG Futures'!$E:$E,$B87,'NG Futures'!$I:$I),"Data Missing")),0)</f>
        <v>0</v>
      </c>
      <c r="P87" s="318"/>
    </row>
    <row r="88" spans="1:16" s="50" customFormat="1" ht="15" customHeight="1" x14ac:dyDescent="0.2">
      <c r="A88" s="124">
        <f t="shared" ref="A88:B103" si="6">A87+1</f>
        <v>20</v>
      </c>
      <c r="B88" s="124">
        <f t="shared" si="6"/>
        <v>2029</v>
      </c>
      <c r="C88" s="120">
        <f ca="1">IFERROR(IF(VALUE(RIGHT($B$82,2))&gt;$A88,0,AVERAGEIFS(Elec_On_Peak, 'Avoided AC'!$D:$D, $B88, 'Avoided AC'!$E:$E, "Summer") +
        INDEX(AEPS!$S$8:$S$37, MATCH($A88, 'General Inputs'!$F$3:$F$32, 0)) +
        OFFSET(DRIPE!$I$10, MATCH('LI Output'!$B88, DRIPE!$I$11:$I$30, 0), MATCH('LI Output'!$B$82, DRIPE!$J$10:$N$10, 0), 1, 1) +
        INDEX(Arrearages!C$5:J$24, MATCH($A88, Arrearages!$B$5:$B$24, 0), MATCH('General Inputs'!$C$2, Arrearages!$C$4:$J$4, 0))),"Data Missing")</f>
        <v>0</v>
      </c>
      <c r="D88" s="14">
        <f ca="1">IFERROR(IF(VALUE(RIGHT($B$82,2))&gt;$A88,0,AVERAGEIFS(Elec_Off_Peak, 'Avoided AC'!$D:$D, $B88, 'Avoided AC'!$E:$E, "Summer") +
        INDEX(AEPS!$S$8:$S$37, MATCH($A88, 'General Inputs'!$F$3:$F$32, 0)) +
        OFFSET(DRIPE!$I$10, MATCH('LI Output'!$B88, DRIPE!$I$11:$I$30, 0), MATCH('LI Output'!$B$82, DRIPE!$J$10:$N$10, 0), 1, 1) +
        INDEX(Arrearages!C$5:J$24, MATCH($A88, Arrearages!$B$5:$B$24, 0), MATCH('General Inputs'!$C$2, Arrearages!$C$4:$J$4, 0))),"Data Missing")</f>
        <v>0</v>
      </c>
      <c r="E88" s="14">
        <f ca="1">IFERROR(IF(VALUE(RIGHT($B$82,2))&gt;$A88,0,AVERAGEIFS(Elec_On_Peak, 'Avoided AC'!$D:$D, $B88, 'Avoided AC'!$E:$E, "Winter") +
        INDEX(AEPS!$S$8:$S$37, MATCH($A88, 'General Inputs'!$F$3:$F$32, 0)) +
        OFFSET(DRIPE!$I$10, MATCH('LI Output'!$B88, DRIPE!$I$11:$I$30, 0), MATCH('LI Output'!$B$82, DRIPE!$J$10:$N$10, 0), 1, 1) +
        INDEX(Arrearages!C$5:J$24, MATCH($A88, Arrearages!$B$5:$B$24, 0), MATCH('General Inputs'!$C$2, Arrearages!$C$4:$J$4, 0))),"Data Missing")</f>
        <v>0</v>
      </c>
      <c r="F88" s="14">
        <f ca="1">IFERROR(IF(VALUE(RIGHT($B$82,2))&gt;$A88,0,AVERAGEIFS(Elec_Off_Peak, 'Avoided AC'!$D:$D, $B88, 'Avoided AC'!$E:$E, "Winter") +
        INDEX(AEPS!$S$8:$S$37, MATCH($A88, 'General Inputs'!$F$3:$F$32, 0)) +
        OFFSET(DRIPE!$I$10, MATCH('LI Output'!$B88, DRIPE!$I$11:$I$30, 0), MATCH('LI Output'!$B$82, DRIPE!$J$10:$N$10, 0), 1, 1) +
        INDEX(Arrearages!C$5:J$24, MATCH($A88, Arrearages!$B$5:$B$24, 0), MATCH('General Inputs'!$C$2, Arrearages!$C$4:$J$4, 0))),"Data Missing")</f>
        <v>0</v>
      </c>
      <c r="G88" s="14">
        <f ca="1">IFERROR(IF(VALUE(RIGHT($B$82,2))&gt;$A88,0,AVERAGEIFS(Elec_On_Peak, 'Avoided AC'!$D:$D, $B88, 'Avoided AC'!$E:$E, "Shoulder") +
        INDEX(AEPS!$S$8:$S$37, MATCH($A88, 'General Inputs'!$F$3:$F$32, 0)) +
        OFFSET(DRIPE!$I$10, MATCH('LI Output'!$B88, DRIPE!$I$11:$I$30, 0), MATCH('LI Output'!$B$82, DRIPE!$J$10:$N$10, 0), 1, 1) +
        INDEX(Arrearages!C$5:J$24, MATCH($A88, Arrearages!$B$5:$B$24, 0), MATCH('General Inputs'!$C$2, Arrearages!$C$4:$J$4, 0))),"Data Missing")</f>
        <v>0</v>
      </c>
      <c r="H88" s="14">
        <f ca="1">IFERROR(IF(VALUE(RIGHT($B$82,2))&gt;$A88,0,AVERAGEIFS(Elec_Off_Peak, 'Avoided AC'!$D:$D, $B88, 'Avoided AC'!$E:$E, "Shoulder") +
        INDEX(AEPS!$S$8:$S$37, MATCH($A88, 'General Inputs'!$F$3:$F$32, 0)) +
        OFFSET(DRIPE!$I$10, MATCH('LI Output'!$B88, DRIPE!$I$11:$I$30, 0), MATCH('LI Output'!$B$82, DRIPE!$J$10:$N$10, 0), 1, 1) +
        INDEX(Arrearages!C$5:J$24, MATCH($A88, Arrearages!$B$5:$B$24, 0), MATCH('General Inputs'!$C$2, Arrearages!$C$4:$J$4, 0))),"Data Missing")</f>
        <v>0</v>
      </c>
      <c r="I88" s="14">
        <f ca="1">(IF(VALUE(RIGHT($B$82,2))&gt;$A88,0,INDEX('Generation Capacity'!$E$27:$K$48,MATCH($A88,'Generation Capacity'!$B$27:$B$48,FALSE),MATCH(EDC_NAME,'Generation Capacity'!$E$26:$K$26,FALSE))+
        OFFSET(DRIPE!$B$35,MATCH('LI Output'!$B88,DRIPE!$B$11:$B$30,0),MATCH('LI Output'!$B$82,DRIPE!$C$10:$G$10,0),1,1)))</f>
        <v>0</v>
      </c>
      <c r="J88" s="14">
        <f ca="1">(IF(VALUE(RIGHT($B$82,2))&gt;$A88,0,INDEX('Generation Capacity'!$E$27:$K$48,MATCH($A88,'Generation Capacity'!$B$27:$B$48,FALSE),MATCH(EDC_NAME,'Generation Capacity'!$E$26:$K$26,FALSE))+
        OFFSET(DRIPE!$I$35,MATCH('LI Output'!$B88,DRIPE!$B$11:$B$30,0),MATCH('LI Output'!$B$82,DRIPE!$C$10:$G$10,0),1,1)))</f>
        <v>0</v>
      </c>
      <c r="K88" s="14">
        <f>IFERROR(IF(VALUE(RIGHT($B$82,2))&gt;$A88,0,INDEX('T&amp;D Capacity'!$E$4:$K$23,MATCH($A88,'T&amp;D Capacity'!$B$4:$B$23,FALSE),MATCH(EDC_NAME,'T&amp;D Capacity'!$E$3:$K$3,FALSE))),0)</f>
        <v>0</v>
      </c>
      <c r="L88" s="14">
        <f>IFERROR(IF(VALUE(RIGHT($B$82,2))&gt;$A88,0,INDEX('T&amp;D Capacity'!$E$28:$K$47,MATCH($A88,'T&amp;D Capacity'!$B$28:$B$47,FALSE),MATCH(EDC_NAME,'T&amp;D Capacity'!$E$27:$K$27,FALSE))),0)</f>
        <v>0</v>
      </c>
      <c r="M88" s="14">
        <f>IFERROR(IF(VALUE(RIGHT($B$82,2))&gt;$A88,0,INDEX('T&amp;D Capacity'!$M$4:$S$23,MATCH($A88,'T&amp;D Capacity'!$B$4:$B$23,FALSE),MATCH(EDC_NAME,'T&amp;D Capacity'!$M$3:$S$3,FALSE))),0)</f>
        <v>0</v>
      </c>
      <c r="N88" s="14">
        <f>IFERROR(IF(VALUE(RIGHT($B$82,2))&gt;$A88,0,INDEX('T&amp;D Capacity'!$M$28:$S$47,MATCH($A88,'T&amp;D Capacity'!$B$28:$B$47,FALSE),MATCH(EDC_NAME,'T&amp;D Capacity'!$M$27:$S$27,FALSE))),0)</f>
        <v>0</v>
      </c>
      <c r="O88" s="57">
        <f>IFERROR(IF(VALUE(RIGHT($B$82,2))&gt;$A88,0,IFERROR(AVERAGEIF('NG Futures'!$E:$E,$B88,'NG Futures'!$I:$I),"Data Missing")),0)</f>
        <v>0</v>
      </c>
      <c r="P88" s="318"/>
    </row>
    <row r="89" spans="1:16" s="50" customFormat="1" ht="15" customHeight="1" x14ac:dyDescent="0.2">
      <c r="A89" s="124">
        <f t="shared" si="6"/>
        <v>21</v>
      </c>
      <c r="B89" s="124">
        <f t="shared" si="6"/>
        <v>2030</v>
      </c>
      <c r="C89" s="120">
        <f ca="1">IFERROR(IF(VALUE(RIGHT($B$82,2))&gt;$A89,0,AVERAGEIFS(Elec_On_Peak, 'Avoided AC'!$D:$D, $B89, 'Avoided AC'!$E:$E, "Summer") +
        INDEX(AEPS!$S$8:$S$37, MATCH($A89, 'General Inputs'!$F$3:$F$32, 0)) +
        OFFSET(DRIPE!$I$10, MATCH('LI Output'!$B89, DRIPE!$I$11:$I$30, 0), MATCH('LI Output'!$B$82, DRIPE!$J$10:$N$10, 0), 1, 1) +
        INDEX(Arrearages!C$5:J$24, MATCH($A89, Arrearages!$B$5:$B$24, 0), MATCH('General Inputs'!$C$2, Arrearages!$C$4:$J$4, 0))),"Data Missing")</f>
        <v>109.66783583755694</v>
      </c>
      <c r="D89" s="14">
        <f ca="1">IFERROR(IF(VALUE(RIGHT($B$82,2))&gt;$A89,0,AVERAGEIFS(Elec_Off_Peak, 'Avoided AC'!$D:$D, $B89, 'Avoided AC'!$E:$E, "Summer") +
        INDEX(AEPS!$S$8:$S$37, MATCH($A89, 'General Inputs'!$F$3:$F$32, 0)) +
        OFFSET(DRIPE!$I$10, MATCH('LI Output'!$B89, DRIPE!$I$11:$I$30, 0), MATCH('LI Output'!$B$82, DRIPE!$J$10:$N$10, 0), 1, 1) +
        INDEX(Arrearages!C$5:J$24, MATCH($A89, Arrearages!$B$5:$B$24, 0), MATCH('General Inputs'!$C$2, Arrearages!$C$4:$J$4, 0))),"Data Missing")</f>
        <v>80.860430402282915</v>
      </c>
      <c r="E89" s="14">
        <f ca="1">IFERROR(IF(VALUE(RIGHT($B$82,2))&gt;$A89,0,AVERAGEIFS(Elec_On_Peak, 'Avoided AC'!$D:$D, $B89, 'Avoided AC'!$E:$E, "Winter") +
        INDEX(AEPS!$S$8:$S$37, MATCH($A89, 'General Inputs'!$F$3:$F$32, 0)) +
        OFFSET(DRIPE!$I$10, MATCH('LI Output'!$B89, DRIPE!$I$11:$I$30, 0), MATCH('LI Output'!$B$82, DRIPE!$J$10:$N$10, 0), 1, 1) +
        INDEX(Arrearages!C$5:J$24, MATCH($A89, Arrearages!$B$5:$B$24, 0), MATCH('General Inputs'!$C$2, Arrearages!$C$4:$J$4, 0))),"Data Missing")</f>
        <v>121.49611081620766</v>
      </c>
      <c r="F89" s="14">
        <f ca="1">IFERROR(IF(VALUE(RIGHT($B$82,2))&gt;$A89,0,AVERAGEIFS(Elec_Off_Peak, 'Avoided AC'!$D:$D, $B89, 'Avoided AC'!$E:$E, "Winter") +
        INDEX(AEPS!$S$8:$S$37, MATCH($A89, 'General Inputs'!$F$3:$F$32, 0)) +
        OFFSET(DRIPE!$I$10, MATCH('LI Output'!$B89, DRIPE!$I$11:$I$30, 0), MATCH('LI Output'!$B$82, DRIPE!$J$10:$N$10, 0), 1, 1) +
        INDEX(Arrearages!C$5:J$24, MATCH($A89, Arrearages!$B$5:$B$24, 0), MATCH('General Inputs'!$C$2, Arrearages!$C$4:$J$4, 0))),"Data Missing")</f>
        <v>107.32087346251299</v>
      </c>
      <c r="G89" s="14">
        <f ca="1">IFERROR(IF(VALUE(RIGHT($B$82,2))&gt;$A89,0,AVERAGEIFS(Elec_On_Peak, 'Avoided AC'!$D:$D, $B89, 'Avoided AC'!$E:$E, "Shoulder") +
        INDEX(AEPS!$S$8:$S$37, MATCH($A89, 'General Inputs'!$F$3:$F$32, 0)) +
        OFFSET(DRIPE!$I$10, MATCH('LI Output'!$B89, DRIPE!$I$11:$I$30, 0), MATCH('LI Output'!$B$82, DRIPE!$J$10:$N$10, 0), 1, 1) +
        INDEX(Arrearages!C$5:J$24, MATCH($A89, Arrearages!$B$5:$B$24, 0), MATCH('General Inputs'!$C$2, Arrearages!$C$4:$J$4, 0))),"Data Missing")</f>
        <v>98.818327247613709</v>
      </c>
      <c r="H89" s="14">
        <f ca="1">IFERROR(IF(VALUE(RIGHT($B$82,2))&gt;$A89,0,AVERAGEIFS(Elec_Off_Peak, 'Avoided AC'!$D:$D, $B89, 'Avoided AC'!$E:$E, "Shoulder") +
        INDEX(AEPS!$S$8:$S$37, MATCH($A89, 'General Inputs'!$F$3:$F$32, 0)) +
        OFFSET(DRIPE!$I$10, MATCH('LI Output'!$B89, DRIPE!$I$11:$I$30, 0), MATCH('LI Output'!$B$82, DRIPE!$J$10:$N$10, 0), 1, 1) +
        INDEX(Arrearages!C$5:J$24, MATCH($A89, Arrearages!$B$5:$B$24, 0), MATCH('General Inputs'!$C$2, Arrearages!$C$4:$J$4, 0))),"Data Missing")</f>
        <v>83.87721168524871</v>
      </c>
      <c r="I89" s="14">
        <f ca="1">(IF(VALUE(RIGHT($B$82,2))&gt;$A89,0,INDEX('Generation Capacity'!$E$27:$K$48,MATCH($A89,'Generation Capacity'!$B$27:$B$48,FALSE),MATCH(EDC_NAME,'Generation Capacity'!$E$26:$K$26,FALSE))+
        OFFSET(DRIPE!$B$35,MATCH('LI Output'!$B89,DRIPE!$B$11:$B$30,0),MATCH('LI Output'!$B$82,DRIPE!$C$10:$G$10,0),1,1)))</f>
        <v>40.366181495546314</v>
      </c>
      <c r="J89" s="14">
        <f ca="1">(IF(VALUE(RIGHT($B$82,2))&gt;$A89,0,INDEX('Generation Capacity'!$E$27:$K$48,MATCH($A89,'Generation Capacity'!$B$27:$B$48,FALSE),MATCH(EDC_NAME,'Generation Capacity'!$E$26:$K$26,FALSE))+
        OFFSET(DRIPE!$I$35,MATCH('LI Output'!$B89,DRIPE!$B$11:$B$30,0),MATCH('LI Output'!$B$82,DRIPE!$C$10:$G$10,0),1,1)))</f>
        <v>40.366181495546314</v>
      </c>
      <c r="K89" s="14">
        <f ca="1">IFERROR(IF(VALUE(RIGHT($B$82,2))&gt;$A89,0,INDEX('T&amp;D Capacity'!$E$4:$K$23,MATCH($A89,'T&amp;D Capacity'!$B$4:$B$23,FALSE),MATCH(EDC_NAME,'T&amp;D Capacity'!$E$3:$K$3,FALSE))),0)</f>
        <v>9.3890032112421178</v>
      </c>
      <c r="L89" s="14">
        <f ca="1">IFERROR(IF(VALUE(RIGHT($B$82,2))&gt;$A89,0,INDEX('T&amp;D Capacity'!$E$28:$K$47,MATCH($A89,'T&amp;D Capacity'!$B$28:$B$47,FALSE),MATCH(EDC_NAME,'T&amp;D Capacity'!$E$27:$K$27,FALSE))),0)</f>
        <v>9.3890032112421178</v>
      </c>
      <c r="M89" s="14">
        <f>IFERROR(IF(VALUE(RIGHT($B$82,2))&gt;$A89,0,INDEX('T&amp;D Capacity'!$M$4:$S$23,MATCH($A89,'T&amp;D Capacity'!$B$4:$B$23,FALSE),MATCH(EDC_NAME,'T&amp;D Capacity'!$M$3:$S$3,FALSE))),0)</f>
        <v>56.91817232966423</v>
      </c>
      <c r="N89" s="14">
        <f>IFERROR(IF(VALUE(RIGHT($B$82,2))&gt;$A89,0,INDEX('T&amp;D Capacity'!$M$28:$S$47,MATCH($A89,'T&amp;D Capacity'!$B$28:$B$47,FALSE),MATCH(EDC_NAME,'T&amp;D Capacity'!$M$27:$S$27,FALSE))),0)</f>
        <v>7.9289728403091431</v>
      </c>
      <c r="O89" s="57">
        <f>IFERROR(IF(VALUE(RIGHT($B$82,2))&gt;$A89,0,IFERROR(AVERAGEIF('NG Futures'!$E:$E,$B89,'NG Futures'!$I:$I),"Data Missing")),0)</f>
        <v>3.4177733333333329</v>
      </c>
      <c r="P89" s="319"/>
    </row>
    <row r="90" spans="1:16" s="50" customFormat="1" ht="15" customHeight="1" x14ac:dyDescent="0.2">
      <c r="A90" s="124">
        <f t="shared" si="6"/>
        <v>22</v>
      </c>
      <c r="B90" s="124">
        <f t="shared" si="6"/>
        <v>2031</v>
      </c>
      <c r="C90" s="121">
        <f ca="1">IFERROR(IF(VALUE(RIGHT($B$82,2))&gt;$A90,0,AVERAGEIFS(Elec_On_Peak, 'Avoided AC'!$D:$D, $B90, 'Avoided AC'!$E:$E, "Summer") +
        INDEX(AEPS!$S$8:$S$37, MATCH($A90, 'General Inputs'!$F$3:$F$32, 0)) +
        OFFSET(DRIPE!$I$10, MATCH('LI Output'!$B90, DRIPE!$I$11:$I$30, 0), MATCH('LI Output'!$B$82, DRIPE!$J$10:$N$10, 0), 1, 1) +
        INDEX(Arrearages!C$5:J$24, MATCH($A90, Arrearages!$B$5:$B$24, 0), MATCH('General Inputs'!$C$2, Arrearages!$C$4:$J$4, 0))),"Data Missing")</f>
        <v>119.20580714052345</v>
      </c>
      <c r="D90" s="15">
        <f ca="1">IFERROR(IF(VALUE(RIGHT($B$82,2))&gt;$A90,0,AVERAGEIFS(Elec_Off_Peak, 'Avoided AC'!$D:$D, $B90, 'Avoided AC'!$E:$E, "Summer") +
        INDEX(AEPS!$S$8:$S$37, MATCH($A90, 'General Inputs'!$F$3:$F$32, 0)) +
        OFFSET(DRIPE!$I$10, MATCH('LI Output'!$B90, DRIPE!$I$11:$I$30, 0), MATCH('LI Output'!$B$82, DRIPE!$J$10:$N$10, 0), 1, 1) +
        INDEX(Arrearages!C$5:J$24, MATCH($A90, Arrearages!$B$5:$B$24, 0), MATCH('General Inputs'!$C$2, Arrearages!$C$4:$J$4, 0))),"Data Missing")</f>
        <v>89.259874538793412</v>
      </c>
      <c r="E90" s="15">
        <f ca="1">IFERROR(IF(VALUE(RIGHT($B$82,2))&gt;$A90,0,AVERAGEIFS(Elec_On_Peak, 'Avoided AC'!$D:$D, $B90, 'Avoided AC'!$E:$E, "Winter") +
        INDEX(AEPS!$S$8:$S$37, MATCH($A90, 'General Inputs'!$F$3:$F$32, 0)) +
        OFFSET(DRIPE!$I$10, MATCH('LI Output'!$B90, DRIPE!$I$11:$I$30, 0), MATCH('LI Output'!$B$82, DRIPE!$J$10:$N$10, 0), 1, 1) +
        INDEX(Arrearages!C$5:J$24, MATCH($A90, Arrearages!$B$5:$B$24, 0), MATCH('General Inputs'!$C$2, Arrearages!$C$4:$J$4, 0))),"Data Missing")</f>
        <v>126.52124696382275</v>
      </c>
      <c r="F90" s="15">
        <f ca="1">IFERROR(IF(VALUE(RIGHT($B$82,2))&gt;$A90,0,AVERAGEIFS(Elec_Off_Peak, 'Avoided AC'!$D:$D, $B90, 'Avoided AC'!$E:$E, "Winter") +
        INDEX(AEPS!$S$8:$S$37, MATCH($A90, 'General Inputs'!$F$3:$F$32, 0)) +
        OFFSET(DRIPE!$I$10, MATCH('LI Output'!$B90, DRIPE!$I$11:$I$30, 0), MATCH('LI Output'!$B$82, DRIPE!$J$10:$N$10, 0), 1, 1) +
        INDEX(Arrearages!C$5:J$24, MATCH($A90, Arrearages!$B$5:$B$24, 0), MATCH('General Inputs'!$C$2, Arrearages!$C$4:$J$4, 0))),"Data Missing")</f>
        <v>114.41421620091265</v>
      </c>
      <c r="G90" s="15">
        <f ca="1">IFERROR(IF(VALUE(RIGHT($B$82,2))&gt;$A90,0,AVERAGEIFS(Elec_On_Peak, 'Avoided AC'!$D:$D, $B90, 'Avoided AC'!$E:$E, "Shoulder") +
        INDEX(AEPS!$S$8:$S$37, MATCH($A90, 'General Inputs'!$F$3:$F$32, 0)) +
        OFFSET(DRIPE!$I$10, MATCH('LI Output'!$B90, DRIPE!$I$11:$I$30, 0), MATCH('LI Output'!$B$82, DRIPE!$J$10:$N$10, 0), 1, 1) +
        INDEX(Arrearages!C$5:J$24, MATCH($A90, Arrearages!$B$5:$B$24, 0), MATCH('General Inputs'!$C$2, Arrearages!$C$4:$J$4, 0))),"Data Missing")</f>
        <v>105.18962229149594</v>
      </c>
      <c r="H90" s="15">
        <f ca="1">IFERROR(IF(VALUE(RIGHT($B$82,2))&gt;$A90,0,AVERAGEIFS(Elec_Off_Peak, 'Avoided AC'!$D:$D, $B90, 'Avoided AC'!$E:$E, "Shoulder") +
        INDEX(AEPS!$S$8:$S$37, MATCH($A90, 'General Inputs'!$F$3:$F$32, 0)) +
        OFFSET(DRIPE!$I$10, MATCH('LI Output'!$B90, DRIPE!$I$11:$I$30, 0), MATCH('LI Output'!$B$82, DRIPE!$J$10:$N$10, 0), 1, 1) +
        INDEX(Arrearages!C$5:J$24, MATCH($A90, Arrearages!$B$5:$B$24, 0), MATCH('General Inputs'!$C$2, Arrearages!$C$4:$J$4, 0))),"Data Missing")</f>
        <v>92.601307438789632</v>
      </c>
      <c r="I90" s="15">
        <f ca="1">(IF(VALUE(RIGHT($B$82,2))&gt;$A90,0,INDEX('Generation Capacity'!$E$27:$K$48,MATCH($A90,'Generation Capacity'!$B$27:$B$48,FALSE),MATCH(EDC_NAME,'Generation Capacity'!$E$26:$K$26,FALSE))+
        OFFSET(DRIPE!$B$35,MATCH('LI Output'!$B90,DRIPE!$B$11:$B$30,0),MATCH('LI Output'!$B$82,DRIPE!$C$10:$G$10,0),1,1)))</f>
        <v>41.192179915077226</v>
      </c>
      <c r="J90" s="15">
        <f ca="1">(IF(VALUE(RIGHT($B$82,2))&gt;$A90,0,INDEX('Generation Capacity'!$E$27:$K$48,MATCH($A90,'Generation Capacity'!$B$27:$B$48,FALSE),MATCH(EDC_NAME,'Generation Capacity'!$E$26:$K$26,FALSE))+
        OFFSET(DRIPE!$I$35,MATCH('LI Output'!$B90,DRIPE!$B$11:$B$30,0),MATCH('LI Output'!$B$82,DRIPE!$C$10:$G$10,0),1,1)))</f>
        <v>41.192179915077226</v>
      </c>
      <c r="K90" s="15">
        <f ca="1">IFERROR(IF(VALUE(RIGHT($B$82,2))&gt;$A90,0,INDEX('T&amp;D Capacity'!$E$4:$K$23,MATCH($A90,'T&amp;D Capacity'!$B$4:$B$23,FALSE),MATCH(EDC_NAME,'T&amp;D Capacity'!$E$3:$K$3,FALSE))),0)</f>
        <v>9.5835004846843326</v>
      </c>
      <c r="L90" s="15">
        <f ca="1">IFERROR(IF(VALUE(RIGHT($B$82,2))&gt;$A90,0,INDEX('T&amp;D Capacity'!$E$28:$K$47,MATCH($A90,'T&amp;D Capacity'!$B$28:$B$47,FALSE),MATCH(EDC_NAME,'T&amp;D Capacity'!$E$27:$K$27,FALSE))),0)</f>
        <v>9.5835004846843326</v>
      </c>
      <c r="M90" s="15">
        <f>IFERROR(IF(VALUE(RIGHT($B$82,2))&gt;$A90,0,INDEX('T&amp;D Capacity'!$M$4:$S$23,MATCH($A90,'T&amp;D Capacity'!$B$4:$B$23,FALSE),MATCH(EDC_NAME,'T&amp;D Capacity'!$M$3:$S$3,FALSE))),0)</f>
        <v>62.194589674472809</v>
      </c>
      <c r="N90" s="15">
        <f>IFERROR(IF(VALUE(RIGHT($B$82,2))&gt;$A90,0,INDEX('T&amp;D Capacity'!$M$28:$S$47,MATCH($A90,'T&amp;D Capacity'!$B$28:$B$47,FALSE),MATCH(EDC_NAME,'T&amp;D Capacity'!$M$27:$S$27,FALSE))),0)</f>
        <v>9.0186463743448257</v>
      </c>
      <c r="O90" s="16">
        <f>IFERROR(IF(VALUE(RIGHT($B$82,2))&gt;$A90,0,IFERROR(AVERAGEIF('NG Futures'!$E:$E,$B90,'NG Futures'!$I:$I),"Data Missing")),0)</f>
        <v>3.3679469428694606</v>
      </c>
      <c r="P90" s="320" t="s">
        <v>128</v>
      </c>
    </row>
    <row r="91" spans="1:16" s="50" customFormat="1" ht="15" customHeight="1" x14ac:dyDescent="0.2">
      <c r="A91" s="124">
        <f t="shared" si="6"/>
        <v>23</v>
      </c>
      <c r="B91" s="124">
        <f t="shared" si="6"/>
        <v>2032</v>
      </c>
      <c r="C91" s="121">
        <f ca="1">IFERROR(IF(VALUE(RIGHT($B$82,2))&gt;$A91,0,AVERAGEIFS(Elec_On_Peak, 'Avoided AC'!$D:$D, $B91, 'Avoided AC'!$E:$E, "Summer") +
        INDEX(AEPS!$S$8:$S$37, MATCH($A91, 'General Inputs'!$F$3:$F$32, 0)) +
        OFFSET(DRIPE!$I$10, MATCH('LI Output'!$B91, DRIPE!$I$11:$I$30, 0), MATCH('LI Output'!$B$82, DRIPE!$J$10:$N$10, 0), 1, 1) +
        INDEX(Arrearages!C$5:J$24, MATCH($A91, Arrearages!$B$5:$B$24, 0), MATCH('General Inputs'!$C$2, Arrearages!$C$4:$J$4, 0))),"Data Missing")</f>
        <v>127.85284983313784</v>
      </c>
      <c r="D91" s="15">
        <f ca="1">IFERROR(IF(VALUE(RIGHT($B$82,2))&gt;$A91,0,AVERAGEIFS(Elec_Off_Peak, 'Avoided AC'!$D:$D, $B91, 'Avoided AC'!$E:$E, "Summer") +
        INDEX(AEPS!$S$8:$S$37, MATCH($A91, 'General Inputs'!$F$3:$F$32, 0)) +
        OFFSET(DRIPE!$I$10, MATCH('LI Output'!$B91, DRIPE!$I$11:$I$30, 0), MATCH('LI Output'!$B$82, DRIPE!$J$10:$N$10, 0), 1, 1) +
        INDEX(Arrearages!C$5:J$24, MATCH($A91, Arrearages!$B$5:$B$24, 0), MATCH('General Inputs'!$C$2, Arrearages!$C$4:$J$4, 0))),"Data Missing")</f>
        <v>97.948587014300898</v>
      </c>
      <c r="E91" s="15">
        <f ca="1">IFERROR(IF(VALUE(RIGHT($B$82,2))&gt;$A91,0,AVERAGEIFS(Elec_On_Peak, 'Avoided AC'!$D:$D, $B91, 'Avoided AC'!$E:$E, "Winter") +
        INDEX(AEPS!$S$8:$S$37, MATCH($A91, 'General Inputs'!$F$3:$F$32, 0)) +
        OFFSET(DRIPE!$I$10, MATCH('LI Output'!$B91, DRIPE!$I$11:$I$30, 0), MATCH('LI Output'!$B$82, DRIPE!$J$10:$N$10, 0), 1, 1) +
        INDEX(Arrearages!C$5:J$24, MATCH($A91, Arrearages!$B$5:$B$24, 0), MATCH('General Inputs'!$C$2, Arrearages!$C$4:$J$4, 0))),"Data Missing")</f>
        <v>137.71595580353338</v>
      </c>
      <c r="F91" s="15">
        <f ca="1">IFERROR(IF(VALUE(RIGHT($B$82,2))&gt;$A91,0,AVERAGEIFS(Elec_Off_Peak, 'Avoided AC'!$D:$D, $B91, 'Avoided AC'!$E:$E, "Winter") +
        INDEX(AEPS!$S$8:$S$37, MATCH($A91, 'General Inputs'!$F$3:$F$32, 0)) +
        OFFSET(DRIPE!$I$10, MATCH('LI Output'!$B91, DRIPE!$I$11:$I$30, 0), MATCH('LI Output'!$B$82, DRIPE!$J$10:$N$10, 0), 1, 1) +
        INDEX(Arrearages!C$5:J$24, MATCH($A91, Arrearages!$B$5:$B$24, 0), MATCH('General Inputs'!$C$2, Arrearages!$C$4:$J$4, 0))),"Data Missing")</f>
        <v>124.85742296956091</v>
      </c>
      <c r="G91" s="15">
        <f ca="1">IFERROR(IF(VALUE(RIGHT($B$82,2))&gt;$A91,0,AVERAGEIFS(Elec_On_Peak, 'Avoided AC'!$D:$D, $B91, 'Avoided AC'!$E:$E, "Shoulder") +
        INDEX(AEPS!$S$8:$S$37, MATCH($A91, 'General Inputs'!$F$3:$F$32, 0)) +
        OFFSET(DRIPE!$I$10, MATCH('LI Output'!$B91, DRIPE!$I$11:$I$30, 0), MATCH('LI Output'!$B$82, DRIPE!$J$10:$N$10, 0), 1, 1) +
        INDEX(Arrearages!C$5:J$24, MATCH($A91, Arrearages!$B$5:$B$24, 0), MATCH('General Inputs'!$C$2, Arrearages!$C$4:$J$4, 0))),"Data Missing")</f>
        <v>114.48516814308255</v>
      </c>
      <c r="H91" s="15">
        <f ca="1">IFERROR(IF(VALUE(RIGHT($B$82,2))&gt;$A91,0,AVERAGEIFS(Elec_Off_Peak, 'Avoided AC'!$D:$D, $B91, 'Avoided AC'!$E:$E, "Shoulder") +
        INDEX(AEPS!$S$8:$S$37, MATCH($A91, 'General Inputs'!$F$3:$F$32, 0)) +
        OFFSET(DRIPE!$I$10, MATCH('LI Output'!$B91, DRIPE!$I$11:$I$30, 0), MATCH('LI Output'!$B$82, DRIPE!$J$10:$N$10, 0), 1, 1) +
        INDEX(Arrearages!C$5:J$24, MATCH($A91, Arrearages!$B$5:$B$24, 0), MATCH('General Inputs'!$C$2, Arrearages!$C$4:$J$4, 0))),"Data Missing")</f>
        <v>101.73662281507254</v>
      </c>
      <c r="I91" s="15">
        <f ca="1">(IF(VALUE(RIGHT($B$82,2))&gt;$A91,0,INDEX('Generation Capacity'!$E$27:$K$48,MATCH($A91,'Generation Capacity'!$B$27:$B$48,FALSE),MATCH(EDC_NAME,'Generation Capacity'!$E$26:$K$26,FALSE))+
        OFFSET(DRIPE!$B$35,MATCH('LI Output'!$B91,DRIPE!$B$11:$B$30,0),MATCH('LI Output'!$B$82,DRIPE!$C$10:$G$10,0),1,1)))</f>
        <v>42.034799660168403</v>
      </c>
      <c r="J91" s="15">
        <f ca="1">(IF(VALUE(RIGHT($B$82,2))&gt;$A91,0,INDEX('Generation Capacity'!$E$27:$K$48,MATCH($A91,'Generation Capacity'!$B$27:$B$48,FALSE),MATCH(EDC_NAME,'Generation Capacity'!$E$26:$K$26,FALSE))+
        OFFSET(DRIPE!$I$35,MATCH('LI Output'!$B91,DRIPE!$B$11:$B$30,0),MATCH('LI Output'!$B$82,DRIPE!$C$10:$G$10,0),1,1)))</f>
        <v>42.034799660168403</v>
      </c>
      <c r="K91" s="15">
        <f ca="1">IFERROR(IF(VALUE(RIGHT($B$82,2))&gt;$A91,0,INDEX('T&amp;D Capacity'!$E$4:$K$23,MATCH($A91,'T&amp;D Capacity'!$B$4:$B$23,FALSE),MATCH(EDC_NAME,'T&amp;D Capacity'!$E$3:$K$3,FALSE))),0)</f>
        <v>9.7820268534975199</v>
      </c>
      <c r="L91" s="15">
        <f ca="1">IFERROR(IF(VALUE(RIGHT($B$82,2))&gt;$A91,0,INDEX('T&amp;D Capacity'!$E$28:$K$47,MATCH($A91,'T&amp;D Capacity'!$B$28:$B$47,FALSE),MATCH(EDC_NAME,'T&amp;D Capacity'!$E$27:$K$27,FALSE))),0)</f>
        <v>9.7820268534975199</v>
      </c>
      <c r="M91" s="15">
        <f ca="1">IFERROR(IF(VALUE(RIGHT($B$82,2))&gt;$A91,0,INDEX('T&amp;D Capacity'!$M$4:$S$23,MATCH($A91,'T&amp;D Capacity'!$B$4:$B$23,FALSE),MATCH(EDC_NAME,'T&amp;D Capacity'!$M$3:$S$3,FALSE))),0)</f>
        <v>63.482977572781131</v>
      </c>
      <c r="N91" s="15">
        <f ca="1">IFERROR(IF(VALUE(RIGHT($B$82,2))&gt;$A91,0,INDEX('T&amp;D Capacity'!$M$28:$S$47,MATCH($A91,'T&amp;D Capacity'!$B$28:$B$47,FALSE),MATCH(EDC_NAME,'T&amp;D Capacity'!$M$27:$S$27,FALSE))),0)</f>
        <v>9.2054715452904787</v>
      </c>
      <c r="O91" s="16">
        <f>IFERROR(IF(VALUE(RIGHT($B$82,2))&gt;$A91,0,IFERROR(AVERAGEIF('NG Futures'!$E:$E,$B91,'NG Futures'!$I:$I),"Data Missing")),0)</f>
        <v>3.4331546501092309</v>
      </c>
      <c r="P91" s="321"/>
    </row>
    <row r="92" spans="1:16" s="50" customFormat="1" ht="15" customHeight="1" x14ac:dyDescent="0.2">
      <c r="A92" s="124">
        <f t="shared" si="6"/>
        <v>24</v>
      </c>
      <c r="B92" s="124">
        <f t="shared" si="6"/>
        <v>2033</v>
      </c>
      <c r="C92" s="121">
        <f ca="1">IFERROR(IF(VALUE(RIGHT($B$82,2))&gt;$A92,0,AVERAGEIFS(Elec_On_Peak, 'Avoided AC'!$D:$D, $B92, 'Avoided AC'!$E:$E, "Summer") +
        INDEX(AEPS!$S$8:$S$37, MATCH($A92, 'General Inputs'!$F$3:$F$32, 0)) +
        OFFSET(DRIPE!$I$10, MATCH('LI Output'!$B92, DRIPE!$I$11:$I$30, 0), MATCH('LI Output'!$B$82, DRIPE!$J$10:$N$10, 0), 1, 1) +
        INDEX(Arrearages!C$5:J$24, MATCH($A92, Arrearages!$B$5:$B$24, 0), MATCH('General Inputs'!$C$2, Arrearages!$C$4:$J$4, 0))),"Data Missing")</f>
        <v>128.72691780379023</v>
      </c>
      <c r="D92" s="15">
        <f ca="1">IFERROR(IF(VALUE(RIGHT($B$82,2))&gt;$A92,0,AVERAGEIFS(Elec_Off_Peak, 'Avoided AC'!$D:$D, $B92, 'Avoided AC'!$E:$E, "Summer") +
        INDEX(AEPS!$S$8:$S$37, MATCH($A92, 'General Inputs'!$F$3:$F$32, 0)) +
        OFFSET(DRIPE!$I$10, MATCH('LI Output'!$B92, DRIPE!$I$11:$I$30, 0), MATCH('LI Output'!$B$82, DRIPE!$J$10:$N$10, 0), 1, 1) +
        INDEX(Arrearages!C$5:J$24, MATCH($A92, Arrearages!$B$5:$B$24, 0), MATCH('General Inputs'!$C$2, Arrearages!$C$4:$J$4, 0))),"Data Missing")</f>
        <v>98.127646911223735</v>
      </c>
      <c r="E92" s="15">
        <f ca="1">IFERROR(IF(VALUE(RIGHT($B$82,2))&gt;$A92,0,AVERAGEIFS(Elec_On_Peak, 'Avoided AC'!$D:$D, $B92, 'Avoided AC'!$E:$E, "Winter") +
        INDEX(AEPS!$S$8:$S$37, MATCH($A92, 'General Inputs'!$F$3:$F$32, 0)) +
        OFFSET(DRIPE!$I$10, MATCH('LI Output'!$B92, DRIPE!$I$11:$I$30, 0), MATCH('LI Output'!$B$82, DRIPE!$J$10:$N$10, 0), 1, 1) +
        INDEX(Arrearages!C$5:J$24, MATCH($A92, Arrearages!$B$5:$B$24, 0), MATCH('General Inputs'!$C$2, Arrearages!$C$4:$J$4, 0))),"Data Missing")</f>
        <v>140.55263524538671</v>
      </c>
      <c r="F92" s="15">
        <f ca="1">IFERROR(IF(VALUE(RIGHT($B$82,2))&gt;$A92,0,AVERAGEIFS(Elec_Off_Peak, 'Avoided AC'!$D:$D, $B92, 'Avoided AC'!$E:$E, "Winter") +
        INDEX(AEPS!$S$8:$S$37, MATCH($A92, 'General Inputs'!$F$3:$F$32, 0)) +
        OFFSET(DRIPE!$I$10, MATCH('LI Output'!$B92, DRIPE!$I$11:$I$30, 0), MATCH('LI Output'!$B$82, DRIPE!$J$10:$N$10, 0), 1, 1) +
        INDEX(Arrearages!C$5:J$24, MATCH($A92, Arrearages!$B$5:$B$24, 0), MATCH('General Inputs'!$C$2, Arrearages!$C$4:$J$4, 0))),"Data Missing")</f>
        <v>126.38806915254381</v>
      </c>
      <c r="G92" s="15">
        <f ca="1">IFERROR(IF(VALUE(RIGHT($B$82,2))&gt;$A92,0,AVERAGEIFS(Elec_On_Peak, 'Avoided AC'!$D:$D, $B92, 'Avoided AC'!$E:$E, "Shoulder") +
        INDEX(AEPS!$S$8:$S$37, MATCH($A92, 'General Inputs'!$F$3:$F$32, 0)) +
        OFFSET(DRIPE!$I$10, MATCH('LI Output'!$B92, DRIPE!$I$11:$I$30, 0), MATCH('LI Output'!$B$82, DRIPE!$J$10:$N$10, 0), 1, 1) +
        INDEX(Arrearages!C$5:J$24, MATCH($A92, Arrearages!$B$5:$B$24, 0), MATCH('General Inputs'!$C$2, Arrearages!$C$4:$J$4, 0))),"Data Missing")</f>
        <v>115.38707053960586</v>
      </c>
      <c r="H92" s="15">
        <f ca="1">IFERROR(IF(VALUE(RIGHT($B$82,2))&gt;$A92,0,AVERAGEIFS(Elec_Off_Peak, 'Avoided AC'!$D:$D, $B92, 'Avoided AC'!$E:$E, "Shoulder") +
        INDEX(AEPS!$S$8:$S$37, MATCH($A92, 'General Inputs'!$F$3:$F$32, 0)) +
        OFFSET(DRIPE!$I$10, MATCH('LI Output'!$B92, DRIPE!$I$11:$I$30, 0), MATCH('LI Output'!$B$82, DRIPE!$J$10:$N$10, 0), 1, 1) +
        INDEX(Arrearages!C$5:J$24, MATCH($A92, Arrearages!$B$5:$B$24, 0), MATCH('General Inputs'!$C$2, Arrearages!$C$4:$J$4, 0))),"Data Missing")</f>
        <v>101.93485137010197</v>
      </c>
      <c r="I92" s="15">
        <f ca="1">(IF(VALUE(RIGHT($B$82,2))&gt;$A92,0,INDEX('Generation Capacity'!$E$27:$K$48,MATCH($A92,'Generation Capacity'!$B$27:$B$48,FALSE),MATCH(EDC_NAME,'Generation Capacity'!$E$26:$K$26,FALSE))+
        OFFSET(DRIPE!$B$35,MATCH('LI Output'!$B92,DRIPE!$B$11:$B$30,0),MATCH('LI Output'!$B$82,DRIPE!$C$10:$G$10,0),1,1)))</f>
        <v>42.89928147161887</v>
      </c>
      <c r="J92" s="15">
        <f ca="1">(IF(VALUE(RIGHT($B$82,2))&gt;$A92,0,INDEX('Generation Capacity'!$E$27:$K$48,MATCH($A92,'Generation Capacity'!$B$27:$B$48,FALSE),MATCH(EDC_NAME,'Generation Capacity'!$E$26:$K$26,FALSE))+
        OFFSET(DRIPE!$I$35,MATCH('LI Output'!$B92,DRIPE!$B$11:$B$30,0),MATCH('LI Output'!$B$82,DRIPE!$C$10:$G$10,0),1,1)))</f>
        <v>42.89928147161887</v>
      </c>
      <c r="K92" s="15">
        <f ca="1">IFERROR(IF(VALUE(RIGHT($B$82,2))&gt;$A92,0,INDEX('T&amp;D Capacity'!$E$4:$K$23,MATCH($A92,'T&amp;D Capacity'!$B$4:$B$23,FALSE),MATCH(EDC_NAME,'T&amp;D Capacity'!$E$3:$K$3,FALSE))),0)</f>
        <v>9.9846657821396683</v>
      </c>
      <c r="L92" s="15">
        <f ca="1">IFERROR(IF(VALUE(RIGHT($B$82,2))&gt;$A92,0,INDEX('T&amp;D Capacity'!$E$28:$K$47,MATCH($A92,'T&amp;D Capacity'!$B$28:$B$47,FALSE),MATCH(EDC_NAME,'T&amp;D Capacity'!$E$27:$K$27,FALSE))),0)</f>
        <v>9.9846657821396683</v>
      </c>
      <c r="M92" s="15">
        <f ca="1">IFERROR(IF(VALUE(RIGHT($B$82,2))&gt;$A92,0,INDEX('T&amp;D Capacity'!$M$4:$S$23,MATCH($A92,'T&amp;D Capacity'!$B$4:$B$23,FALSE),MATCH(EDC_NAME,'T&amp;D Capacity'!$M$3:$S$3,FALSE))),0)</f>
        <v>64.798054985164484</v>
      </c>
      <c r="N92" s="15">
        <f ca="1">IFERROR(IF(VALUE(RIGHT($B$82,2))&gt;$A92,0,INDEX('T&amp;D Capacity'!$M$28:$S$47,MATCH($A92,'T&amp;D Capacity'!$B$28:$B$47,FALSE),MATCH(EDC_NAME,'T&amp;D Capacity'!$M$27:$S$27,FALSE))),0)</f>
        <v>9.396166880676569</v>
      </c>
      <c r="O92" s="16">
        <f>IFERROR(IF(VALUE(RIGHT($B$82,2))&gt;$A92,0,IFERROR(AVERAGEIF('NG Futures'!$E:$E,$B92,'NG Futures'!$I:$I),"Data Missing")),0)</f>
        <v>3.6808695479745581</v>
      </c>
      <c r="P92" s="321"/>
    </row>
    <row r="93" spans="1:16" s="50" customFormat="1" ht="15" customHeight="1" x14ac:dyDescent="0.2">
      <c r="A93" s="124">
        <f t="shared" si="6"/>
        <v>25</v>
      </c>
      <c r="B93" s="124">
        <f t="shared" si="6"/>
        <v>2034</v>
      </c>
      <c r="C93" s="121">
        <f ca="1">IFERROR(IF(VALUE(RIGHT($B$82,2))&gt;$A93,0,AVERAGEIFS(Elec_On_Peak, 'Avoided AC'!$D:$D, $B93, 'Avoided AC'!$E:$E, "Summer") +
        INDEX(AEPS!$S$8:$S$37, MATCH($A93, 'General Inputs'!$F$3:$F$32, 0)) +
        OFFSET(DRIPE!$I$10, MATCH('LI Output'!$B93, DRIPE!$I$11:$I$30, 0), MATCH('LI Output'!$B$82, DRIPE!$J$10:$N$10, 0), 1, 1) +
        INDEX(Arrearages!C$5:J$24, MATCH($A93, Arrearages!$B$5:$B$24, 0), MATCH('General Inputs'!$C$2, Arrearages!$C$4:$J$4, 0))),"Data Missing")</f>
        <v>99.933740244154734</v>
      </c>
      <c r="D93" s="15">
        <f ca="1">IFERROR(IF(VALUE(RIGHT($B$82,2))&gt;$A93,0,AVERAGEIFS(Elec_Off_Peak, 'Avoided AC'!$D:$D, $B93, 'Avoided AC'!$E:$E, "Summer") +
        INDEX(AEPS!$S$8:$S$37, MATCH($A93, 'General Inputs'!$F$3:$F$32, 0)) +
        OFFSET(DRIPE!$I$10, MATCH('LI Output'!$B93, DRIPE!$I$11:$I$30, 0), MATCH('LI Output'!$B$82, DRIPE!$J$10:$N$10, 0), 1, 1) +
        INDEX(Arrearages!C$5:J$24, MATCH($A93, Arrearages!$B$5:$B$24, 0), MATCH('General Inputs'!$C$2, Arrearages!$C$4:$J$4, 0))),"Data Missing")</f>
        <v>68.483259297638241</v>
      </c>
      <c r="E93" s="15">
        <f ca="1">IFERROR(IF(VALUE(RIGHT($B$82,2))&gt;$A93,0,AVERAGEIFS(Elec_On_Peak, 'Avoided AC'!$D:$D, $B93, 'Avoided AC'!$E:$E, "Winter") +
        INDEX(AEPS!$S$8:$S$37, MATCH($A93, 'General Inputs'!$F$3:$F$32, 0)) +
        OFFSET(DRIPE!$I$10, MATCH('LI Output'!$B93, DRIPE!$I$11:$I$30, 0), MATCH('LI Output'!$B$82, DRIPE!$J$10:$N$10, 0), 1, 1) +
        INDEX(Arrearages!C$5:J$24, MATCH($A93, Arrearages!$B$5:$B$24, 0), MATCH('General Inputs'!$C$2, Arrearages!$C$4:$J$4, 0))),"Data Missing")</f>
        <v>114.2624055092225</v>
      </c>
      <c r="F93" s="15">
        <f ca="1">IFERROR(IF(VALUE(RIGHT($B$82,2))&gt;$A93,0,AVERAGEIFS(Elec_Off_Peak, 'Avoided AC'!$D:$D, $B93, 'Avoided AC'!$E:$E, "Winter") +
        INDEX(AEPS!$S$8:$S$37, MATCH($A93, 'General Inputs'!$F$3:$F$32, 0)) +
        OFFSET(DRIPE!$I$10, MATCH('LI Output'!$B93, DRIPE!$I$11:$I$30, 0), MATCH('LI Output'!$B$82, DRIPE!$J$10:$N$10, 0), 1, 1) +
        INDEX(Arrearages!C$5:J$24, MATCH($A93, Arrearages!$B$5:$B$24, 0), MATCH('General Inputs'!$C$2, Arrearages!$C$4:$J$4, 0))),"Data Missing")</f>
        <v>98.467379786201107</v>
      </c>
      <c r="G93" s="15">
        <f ca="1">IFERROR(IF(VALUE(RIGHT($B$82,2))&gt;$A93,0,AVERAGEIFS(Elec_On_Peak, 'Avoided AC'!$D:$D, $B93, 'Avoided AC'!$E:$E, "Shoulder") +
        INDEX(AEPS!$S$8:$S$37, MATCH($A93, 'General Inputs'!$F$3:$F$32, 0)) +
        OFFSET(DRIPE!$I$10, MATCH('LI Output'!$B93, DRIPE!$I$11:$I$30, 0), MATCH('LI Output'!$B$82, DRIPE!$J$10:$N$10, 0), 1, 1) +
        INDEX(Arrearages!C$5:J$24, MATCH($A93, Arrearages!$B$5:$B$24, 0), MATCH('General Inputs'!$C$2, Arrearages!$C$4:$J$4, 0))),"Data Missing")</f>
        <v>86.917843978920246</v>
      </c>
      <c r="H93" s="15">
        <f ca="1">IFERROR(IF(VALUE(RIGHT($B$82,2))&gt;$A93,0,AVERAGEIFS(Elec_Off_Peak, 'Avoided AC'!$D:$D, $B93, 'Avoided AC'!$E:$E, "Shoulder") +
        INDEX(AEPS!$S$8:$S$37, MATCH($A93, 'General Inputs'!$F$3:$F$32, 0)) +
        OFFSET(DRIPE!$I$10, MATCH('LI Output'!$B93, DRIPE!$I$11:$I$30, 0), MATCH('LI Output'!$B$82, DRIPE!$J$10:$N$10, 0), 1, 1) +
        INDEX(Arrearages!C$5:J$24, MATCH($A93, Arrearages!$B$5:$B$24, 0), MATCH('General Inputs'!$C$2, Arrearages!$C$4:$J$4, 0))),"Data Missing")</f>
        <v>72.513558206926561</v>
      </c>
      <c r="I93" s="15">
        <f ca="1">(IF(VALUE(RIGHT($B$82,2))&gt;$A93,0,INDEX('Generation Capacity'!$E$27:$K$48,MATCH($A93,'Generation Capacity'!$B$27:$B$48,FALSE),MATCH(EDC_NAME,'Generation Capacity'!$E$26:$K$26,FALSE))+
        OFFSET(DRIPE!$B$35,MATCH('LI Output'!$B93,DRIPE!$B$11:$B$30,0),MATCH('LI Output'!$B$82,DRIPE!$C$10:$G$10,0),1,1)))</f>
        <v>29.395871077277739</v>
      </c>
      <c r="J93" s="15">
        <f ca="1">(IF(VALUE(RIGHT($B$82,2))&gt;$A93,0,INDEX('Generation Capacity'!$E$27:$K$48,MATCH($A93,'Generation Capacity'!$B$27:$B$48,FALSE),MATCH(EDC_NAME,'Generation Capacity'!$E$26:$K$26,FALSE))+
        OFFSET(DRIPE!$I$35,MATCH('LI Output'!$B93,DRIPE!$B$11:$B$30,0),MATCH('LI Output'!$B$82,DRIPE!$C$10:$G$10,0),1,1)))</f>
        <v>29.395871077277739</v>
      </c>
      <c r="K93" s="15">
        <f ca="1">IFERROR(IF(VALUE(RIGHT($B$82,2))&gt;$A93,0,INDEX('T&amp;D Capacity'!$E$4:$K$23,MATCH($A93,'T&amp;D Capacity'!$B$4:$B$23,FALSE),MATCH(EDC_NAME,'T&amp;D Capacity'!$E$3:$K$3,FALSE))),0)</f>
        <v>10.191502464071213</v>
      </c>
      <c r="L93" s="15">
        <f ca="1">IFERROR(IF(VALUE(RIGHT($B$82,2))&gt;$A93,0,INDEX('T&amp;D Capacity'!$E$28:$K$47,MATCH($A93,'T&amp;D Capacity'!$B$28:$B$47,FALSE),MATCH(EDC_NAME,'T&amp;D Capacity'!$E$27:$K$27,FALSE))),0)</f>
        <v>10.191502464071213</v>
      </c>
      <c r="M93" s="15">
        <f ca="1">IFERROR(IF(VALUE(RIGHT($B$82,2))&gt;$A93,0,INDEX('T&amp;D Capacity'!$M$4:$S$23,MATCH($A93,'T&amp;D Capacity'!$B$4:$B$23,FALSE),MATCH(EDC_NAME,'T&amp;D Capacity'!$M$3:$S$3,FALSE))),0)</f>
        <v>66.140374796481908</v>
      </c>
      <c r="N93" s="15">
        <f ca="1">IFERROR(IF(VALUE(RIGHT($B$82,2))&gt;$A93,0,INDEX('T&amp;D Capacity'!$M$28:$S$47,MATCH($A93,'T&amp;D Capacity'!$B$28:$B$47,FALSE),MATCH(EDC_NAME,'T&amp;D Capacity'!$M$27:$S$27,FALSE))),0)</f>
        <v>9.5908125526379333</v>
      </c>
      <c r="O93" s="16">
        <f>IFERROR(IF(VALUE(RIGHT($B$82,2))&gt;$A93,0,IFERROR(AVERAGEIF('NG Futures'!$E:$E,$B93,'NG Futures'!$I:$I),"Data Missing")),0)</f>
        <v>3.9952671302460749</v>
      </c>
      <c r="P93" s="321"/>
    </row>
    <row r="94" spans="1:16" s="50" customFormat="1" ht="15" customHeight="1" x14ac:dyDescent="0.2">
      <c r="A94" s="124">
        <f t="shared" si="6"/>
        <v>26</v>
      </c>
      <c r="B94" s="124">
        <f t="shared" si="6"/>
        <v>2035</v>
      </c>
      <c r="C94" s="121">
        <f ca="1">IFERROR(IF(VALUE(RIGHT($B$82,2))&gt;$A94,0,AVERAGEIFS(Elec_On_Peak, 'Avoided AC'!$D:$D, $B94, 'Avoided AC'!$E:$E, "Summer") +
        INDEX(AEPS!$S$8:$S$37, MATCH($A94, 'General Inputs'!$F$3:$F$32, 0)) +
        OFFSET(DRIPE!$I$10, MATCH('LI Output'!$B94, DRIPE!$I$11:$I$30, 0), MATCH('LI Output'!$B$82, DRIPE!$J$10:$N$10, 0), 1, 1) +
        INDEX(Arrearages!C$5:J$24, MATCH($A94, Arrearages!$B$5:$B$24, 0), MATCH('General Inputs'!$C$2, Arrearages!$C$4:$J$4, 0))),"Data Missing")</f>
        <v>103.13861729669094</v>
      </c>
      <c r="D94" s="15">
        <f ca="1">IFERROR(IF(VALUE(RIGHT($B$82,2))&gt;$A94,0,AVERAGEIFS(Elec_Off_Peak, 'Avoided AC'!$D:$D, $B94, 'Avoided AC'!$E:$E, "Summer") +
        INDEX(AEPS!$S$8:$S$37, MATCH($A94, 'General Inputs'!$F$3:$F$32, 0)) +
        OFFSET(DRIPE!$I$10, MATCH('LI Output'!$B94, DRIPE!$I$11:$I$30, 0), MATCH('LI Output'!$B$82, DRIPE!$J$10:$N$10, 0), 1, 1) +
        INDEX(Arrearages!C$5:J$24, MATCH($A94, Arrearages!$B$5:$B$24, 0), MATCH('General Inputs'!$C$2, Arrearages!$C$4:$J$4, 0))),"Data Missing")</f>
        <v>70.869055878192299</v>
      </c>
      <c r="E94" s="15">
        <f ca="1">IFERROR(IF(VALUE(RIGHT($B$82,2))&gt;$A94,0,AVERAGEIFS(Elec_On_Peak, 'Avoided AC'!$D:$D, $B94, 'Avoided AC'!$E:$E, "Winter") +
        INDEX(AEPS!$S$8:$S$37, MATCH($A94, 'General Inputs'!$F$3:$F$32, 0)) +
        OFFSET(DRIPE!$I$10, MATCH('LI Output'!$B94, DRIPE!$I$11:$I$30, 0), MATCH('LI Output'!$B$82, DRIPE!$J$10:$N$10, 0), 1, 1) +
        INDEX(Arrearages!C$5:J$24, MATCH($A94, Arrearages!$B$5:$B$24, 0), MATCH('General Inputs'!$C$2, Arrearages!$C$4:$J$4, 0))),"Data Missing")</f>
        <v>119.72768821880611</v>
      </c>
      <c r="F94" s="15">
        <f ca="1">IFERROR(IF(VALUE(RIGHT($B$82,2))&gt;$A94,0,AVERAGEIFS(Elec_Off_Peak, 'Avoided AC'!$D:$D, $B94, 'Avoided AC'!$E:$E, "Winter") +
        INDEX(AEPS!$S$8:$S$37, MATCH($A94, 'General Inputs'!$F$3:$F$32, 0)) +
        OFFSET(DRIPE!$I$10, MATCH('LI Output'!$B94, DRIPE!$I$11:$I$30, 0), MATCH('LI Output'!$B$82, DRIPE!$J$10:$N$10, 0), 1, 1) +
        INDEX(Arrearages!C$5:J$24, MATCH($A94, Arrearages!$B$5:$B$24, 0), MATCH('General Inputs'!$C$2, Arrearages!$C$4:$J$4, 0))),"Data Missing")</f>
        <v>102.40984376212525</v>
      </c>
      <c r="G94" s="15">
        <f ca="1">IFERROR(IF(VALUE(RIGHT($B$82,2))&gt;$A94,0,AVERAGEIFS(Elec_On_Peak, 'Avoided AC'!$D:$D, $B94, 'Avoided AC'!$E:$E, "Shoulder") +
        INDEX(AEPS!$S$8:$S$37, MATCH($A94, 'General Inputs'!$F$3:$F$32, 0)) +
        OFFSET(DRIPE!$I$10, MATCH('LI Output'!$B94, DRIPE!$I$11:$I$30, 0), MATCH('LI Output'!$B$82, DRIPE!$J$10:$N$10, 0), 1, 1) +
        INDEX(Arrearages!C$5:J$24, MATCH($A94, Arrearages!$B$5:$B$24, 0), MATCH('General Inputs'!$C$2, Arrearages!$C$4:$J$4, 0))),"Data Missing")</f>
        <v>90.544767853443929</v>
      </c>
      <c r="H94" s="15">
        <f ca="1">IFERROR(IF(VALUE(RIGHT($B$82,2))&gt;$A94,0,AVERAGEIFS(Elec_Off_Peak, 'Avoided AC'!$D:$D, $B94, 'Avoided AC'!$E:$E, "Shoulder") +
        INDEX(AEPS!$S$8:$S$37, MATCH($A94, 'General Inputs'!$F$3:$F$32, 0)) +
        OFFSET(DRIPE!$I$10, MATCH('LI Output'!$B94, DRIPE!$I$11:$I$30, 0), MATCH('LI Output'!$B$82, DRIPE!$J$10:$N$10, 0), 1, 1) +
        INDEX(Arrearages!C$5:J$24, MATCH($A94, Arrearages!$B$5:$B$24, 0), MATCH('General Inputs'!$C$2, Arrearages!$C$4:$J$4, 0))),"Data Missing")</f>
        <v>75.190004620646249</v>
      </c>
      <c r="I94" s="15">
        <f ca="1">(IF(VALUE(RIGHT($B$82,2))&gt;$A94,0,INDEX('Generation Capacity'!$E$27:$K$48,MATCH($A94,'Generation Capacity'!$B$27:$B$48,FALSE),MATCH(EDC_NAME,'Generation Capacity'!$E$26:$K$26,FALSE))+
        OFFSET(DRIPE!$B$35,MATCH('LI Output'!$B94,DRIPE!$B$11:$B$30,0),MATCH('LI Output'!$B$82,DRIPE!$C$10:$G$10,0),1,1)))</f>
        <v>30.004819295353062</v>
      </c>
      <c r="J94" s="15">
        <f ca="1">(IF(VALUE(RIGHT($B$82,2))&gt;$A94,0,INDEX('Generation Capacity'!$E$27:$K$48,MATCH($A94,'Generation Capacity'!$B$27:$B$48,FALSE),MATCH(EDC_NAME,'Generation Capacity'!$E$26:$K$26,FALSE))+
        OFFSET(DRIPE!$I$35,MATCH('LI Output'!$B94,DRIPE!$B$11:$B$30,0),MATCH('LI Output'!$B$82,DRIPE!$C$10:$G$10,0),1,1)))</f>
        <v>30.004819295353062</v>
      </c>
      <c r="K94" s="15">
        <f ca="1">IFERROR(IF(VALUE(RIGHT($B$82,2))&gt;$A94,0,INDEX('T&amp;D Capacity'!$E$4:$K$23,MATCH($A94,'T&amp;D Capacity'!$B$4:$B$23,FALSE),MATCH(EDC_NAME,'T&amp;D Capacity'!$E$3:$K$3,FALSE))),0)</f>
        <v>10.402623857572072</v>
      </c>
      <c r="L94" s="15">
        <f ca="1">IFERROR(IF(VALUE(RIGHT($B$82,2))&gt;$A94,0,INDEX('T&amp;D Capacity'!$E$28:$K$47,MATCH($A94,'T&amp;D Capacity'!$B$28:$B$47,FALSE),MATCH(EDC_NAME,'T&amp;D Capacity'!$E$27:$K$27,FALSE))),0)</f>
        <v>10.402623857572072</v>
      </c>
      <c r="M94" s="15">
        <f ca="1">IFERROR(IF(VALUE(RIGHT($B$82,2))&gt;$A94,0,INDEX('T&amp;D Capacity'!$M$4:$S$23,MATCH($A94,'T&amp;D Capacity'!$B$4:$B$23,FALSE),MATCH(EDC_NAME,'T&amp;D Capacity'!$M$3:$S$3,FALSE))),0)</f>
        <v>67.510501344842098</v>
      </c>
      <c r="N94" s="15">
        <f ca="1">IFERROR(IF(VALUE(RIGHT($B$82,2))&gt;$A94,0,INDEX('T&amp;D Capacity'!$M$28:$S$47,MATCH($A94,'T&amp;D Capacity'!$B$28:$B$47,FALSE),MATCH(EDC_NAME,'T&amp;D Capacity'!$M$27:$S$27,FALSE))),0)</f>
        <v>9.7894903941099525</v>
      </c>
      <c r="O94" s="16">
        <f>IFERROR(IF(VALUE(RIGHT($B$82,2))&gt;$A94,0,IFERROR(AVERAGEIF('NG Futures'!$E:$E,$B94,'NG Futures'!$I:$I),"Data Missing")),0)</f>
        <v>4.297775585014695</v>
      </c>
      <c r="P94" s="321"/>
    </row>
    <row r="95" spans="1:16" s="50" customFormat="1" ht="15" customHeight="1" x14ac:dyDescent="0.2">
      <c r="A95" s="124">
        <f t="shared" si="6"/>
        <v>27</v>
      </c>
      <c r="B95" s="124">
        <f t="shared" si="6"/>
        <v>2036</v>
      </c>
      <c r="C95" s="121">
        <f ca="1">IFERROR(IF(VALUE(RIGHT($B$82,2))&gt;$A95,0,AVERAGEIFS(Elec_On_Peak, 'Avoided AC'!$D:$D, $B95, 'Avoided AC'!$E:$E, "Summer") +
        INDEX(AEPS!$S$8:$S$37, MATCH($A95, 'General Inputs'!$F$3:$F$32, 0)) +
        OFFSET(DRIPE!$I$10, MATCH('LI Output'!$B95, DRIPE!$I$11:$I$30, 0), MATCH('LI Output'!$B$82, DRIPE!$J$10:$N$10, 0), 1, 1) +
        INDEX(Arrearages!C$5:J$24, MATCH($A95, Arrearages!$B$5:$B$24, 0), MATCH('General Inputs'!$C$2, Arrearages!$C$4:$J$4, 0))),"Data Missing")</f>
        <v>106.14802988415305</v>
      </c>
      <c r="D95" s="15">
        <f ca="1">IFERROR(IF(VALUE(RIGHT($B$82,2))&gt;$A95,0,AVERAGEIFS(Elec_Off_Peak, 'Avoided AC'!$D:$D, $B95, 'Avoided AC'!$E:$E, "Summer") +
        INDEX(AEPS!$S$8:$S$37, MATCH($A95, 'General Inputs'!$F$3:$F$32, 0)) +
        OFFSET(DRIPE!$I$10, MATCH('LI Output'!$B95, DRIPE!$I$11:$I$30, 0), MATCH('LI Output'!$B$82, DRIPE!$J$10:$N$10, 0), 1, 1) +
        INDEX(Arrearages!C$5:J$24, MATCH($A95, Arrearages!$B$5:$B$24, 0), MATCH('General Inputs'!$C$2, Arrearages!$C$4:$J$4, 0))),"Data Missing")</f>
        <v>73.12381653192368</v>
      </c>
      <c r="E95" s="15">
        <f ca="1">IFERROR(IF(VALUE(RIGHT($B$82,2))&gt;$A95,0,AVERAGEIFS(Elec_On_Peak, 'Avoided AC'!$D:$D, $B95, 'Avoided AC'!$E:$E, "Winter") +
        INDEX(AEPS!$S$8:$S$37, MATCH($A95, 'General Inputs'!$F$3:$F$32, 0)) +
        OFFSET(DRIPE!$I$10, MATCH('LI Output'!$B95, DRIPE!$I$11:$I$30, 0), MATCH('LI Output'!$B$82, DRIPE!$J$10:$N$10, 0), 1, 1) +
        INDEX(Arrearages!C$5:J$24, MATCH($A95, Arrearages!$B$5:$B$24, 0), MATCH('General Inputs'!$C$2, Arrearages!$C$4:$J$4, 0))),"Data Missing")</f>
        <v>124.71159132922962</v>
      </c>
      <c r="F95" s="15">
        <f ca="1">IFERROR(IF(VALUE(RIGHT($B$82,2))&gt;$A95,0,AVERAGEIFS(Elec_Off_Peak, 'Avoided AC'!$D:$D, $B95, 'Avoided AC'!$E:$E, "Winter") +
        INDEX(AEPS!$S$8:$S$37, MATCH($A95, 'General Inputs'!$F$3:$F$32, 0)) +
        OFFSET(DRIPE!$I$10, MATCH('LI Output'!$B95, DRIPE!$I$11:$I$30, 0), MATCH('LI Output'!$B$82, DRIPE!$J$10:$N$10, 0), 1, 1) +
        INDEX(Arrearages!C$5:J$24, MATCH($A95, Arrearages!$B$5:$B$24, 0), MATCH('General Inputs'!$C$2, Arrearages!$C$4:$J$4, 0))),"Data Missing")</f>
        <v>106.02437141607557</v>
      </c>
      <c r="G95" s="15">
        <f ca="1">IFERROR(IF(VALUE(RIGHT($B$82,2))&gt;$A95,0,AVERAGEIFS(Elec_On_Peak, 'Avoided AC'!$D:$D, $B95, 'Avoided AC'!$E:$E, "Shoulder") +
        INDEX(AEPS!$S$8:$S$37, MATCH($A95, 'General Inputs'!$F$3:$F$32, 0)) +
        OFFSET(DRIPE!$I$10, MATCH('LI Output'!$B95, DRIPE!$I$11:$I$30, 0), MATCH('LI Output'!$B$82, DRIPE!$J$10:$N$10, 0), 1, 1) +
        INDEX(Arrearages!C$5:J$24, MATCH($A95, Arrearages!$B$5:$B$24, 0), MATCH('General Inputs'!$C$2, Arrearages!$C$4:$J$4, 0))),"Data Missing")</f>
        <v>93.708604669807769</v>
      </c>
      <c r="H95" s="15">
        <f ca="1">IFERROR(IF(VALUE(RIGHT($B$82,2))&gt;$A95,0,AVERAGEIFS(Elec_Off_Peak, 'Avoided AC'!$D:$D, $B95, 'Avoided AC'!$E:$E, "Shoulder") +
        INDEX(AEPS!$S$8:$S$37, MATCH($A95, 'General Inputs'!$F$3:$F$32, 0)) +
        OFFSET(DRIPE!$I$10, MATCH('LI Output'!$B95, DRIPE!$I$11:$I$30, 0), MATCH('LI Output'!$B$82, DRIPE!$J$10:$N$10, 0), 1, 1) +
        INDEX(Arrearages!C$5:J$24, MATCH($A95, Arrearages!$B$5:$B$24, 0), MATCH('General Inputs'!$C$2, Arrearages!$C$4:$J$4, 0))),"Data Missing")</f>
        <v>77.551112186683838</v>
      </c>
      <c r="I95" s="15">
        <f ca="1">(IF(VALUE(RIGHT($B$82,2))&gt;$A95,0,INDEX('Generation Capacity'!$E$27:$K$48,MATCH($A95,'Generation Capacity'!$B$27:$B$48,FALSE),MATCH(EDC_NAME,'Generation Capacity'!$E$26:$K$26,FALSE))+
        OFFSET(DRIPE!$B$35,MATCH('LI Output'!$B95,DRIPE!$B$11:$B$30,0),MATCH('LI Output'!$B$82,DRIPE!$C$10:$G$10,0),1,1)))</f>
        <v>30.626382139860866</v>
      </c>
      <c r="J95" s="15">
        <f ca="1">(IF(VALUE(RIGHT($B$82,2))&gt;$A95,0,INDEX('Generation Capacity'!$E$27:$K$48,MATCH($A95,'Generation Capacity'!$B$27:$B$48,FALSE),MATCH(EDC_NAME,'Generation Capacity'!$E$26:$K$26,FALSE))+
        OFFSET(DRIPE!$I$35,MATCH('LI Output'!$B95,DRIPE!$B$11:$B$30,0),MATCH('LI Output'!$B$82,DRIPE!$C$10:$G$10,0),1,1)))</f>
        <v>30.626382139860866</v>
      </c>
      <c r="K95" s="15">
        <f ca="1">IFERROR(IF(VALUE(RIGHT($B$82,2))&gt;$A95,0,INDEX('T&amp;D Capacity'!$E$4:$K$23,MATCH($A95,'T&amp;D Capacity'!$B$4:$B$23,FALSE),MATCH(EDC_NAME,'T&amp;D Capacity'!$E$3:$K$3,FALSE))),0)</f>
        <v>10.61811872230064</v>
      </c>
      <c r="L95" s="15">
        <f ca="1">IFERROR(IF(VALUE(RIGHT($B$82,2))&gt;$A95,0,INDEX('T&amp;D Capacity'!$E$28:$K$47,MATCH($A95,'T&amp;D Capacity'!$B$28:$B$47,FALSE),MATCH(EDC_NAME,'T&amp;D Capacity'!$E$27:$K$27,FALSE))),0)</f>
        <v>10.61811872230064</v>
      </c>
      <c r="M95" s="15">
        <f ca="1">IFERROR(IF(VALUE(RIGHT($B$82,2))&gt;$A95,0,INDEX('T&amp;D Capacity'!$M$4:$S$23,MATCH($A95,'T&amp;D Capacity'!$B$4:$B$23,FALSE),MATCH(EDC_NAME,'T&amp;D Capacity'!$M$3:$S$3,FALSE))),0)</f>
        <v>68.909010658862414</v>
      </c>
      <c r="N95" s="15">
        <f ca="1">IFERROR(IF(VALUE(RIGHT($B$82,2))&gt;$A95,0,INDEX('T&amp;D Capacity'!$M$28:$S$47,MATCH($A95,'T&amp;D Capacity'!$B$28:$B$47,FALSE),MATCH(EDC_NAME,'T&amp;D Capacity'!$M$27:$S$27,FALSE))),0)</f>
        <v>9.9922839332327538</v>
      </c>
      <c r="O95" s="16">
        <f>IFERROR(IF(VALUE(RIGHT($B$82,2))&gt;$A95,0,IFERROR(AVERAGEIF('NG Futures'!$E:$E,$B95,'NG Futures'!$I:$I),"Data Missing")),0)</f>
        <v>4.5669539736620006</v>
      </c>
      <c r="P95" s="322"/>
    </row>
    <row r="96" spans="1:16" s="50" customFormat="1" ht="15" customHeight="1" x14ac:dyDescent="0.2">
      <c r="A96" s="124">
        <f t="shared" si="6"/>
        <v>28</v>
      </c>
      <c r="B96" s="124">
        <f t="shared" si="6"/>
        <v>2037</v>
      </c>
      <c r="C96" s="122">
        <f ca="1">IFERROR(IF(VALUE(RIGHT($B$82,2))&gt;$A96,0,AVERAGEIFS(Elec_On_Peak, 'Avoided AC'!$D:$D, $B96, 'Avoided AC'!$E:$E, "Summer") +
        INDEX(AEPS!$S$8:$S$37, MATCH($A96, 'General Inputs'!$F$3:$F$32, 0)) +
        OFFSET(DRIPE!$I$10, MATCH('LI Output'!$B96, DRIPE!$I$11:$I$30, 0), MATCH('LI Output'!$B$82, DRIPE!$J$10:$N$10, 0), 1, 1) +
        INDEX(Arrearages!C$5:J$24, MATCH($A96, Arrearages!$B$5:$B$24, 0), MATCH('General Inputs'!$C$2, Arrearages!$C$4:$J$4, 0))),"Data Missing")</f>
        <v>108.14498023722658</v>
      </c>
      <c r="D96" s="17">
        <f ca="1">IFERROR(IF(VALUE(RIGHT($B$82,2))&gt;$A96,0,AVERAGEIFS(Elec_Off_Peak, 'Avoided AC'!$D:$D, $B96, 'Avoided AC'!$E:$E, "Summer") +
        INDEX(AEPS!$S$8:$S$37, MATCH($A96, 'General Inputs'!$F$3:$F$32, 0)) +
        OFFSET(DRIPE!$I$10, MATCH('LI Output'!$B96, DRIPE!$I$11:$I$30, 0), MATCH('LI Output'!$B$82, DRIPE!$J$10:$N$10, 0), 1, 1) +
        INDEX(Arrearages!C$5:J$24, MATCH($A96, Arrearages!$B$5:$B$24, 0), MATCH('General Inputs'!$C$2, Arrearages!$C$4:$J$4, 0))),"Data Missing")</f>
        <v>74.684973115619727</v>
      </c>
      <c r="E96" s="17">
        <f ca="1">IFERROR(IF(VALUE(RIGHT($B$82,2))&gt;$A96,0,AVERAGEIFS(Elec_On_Peak, 'Avoided AC'!$D:$D, $B96, 'Avoided AC'!$E:$E, "Winter") +
        INDEX(AEPS!$S$8:$S$37, MATCH($A96, 'General Inputs'!$F$3:$F$32, 0)) +
        OFFSET(DRIPE!$I$10, MATCH('LI Output'!$B96, DRIPE!$I$11:$I$30, 0), MATCH('LI Output'!$B$82, DRIPE!$J$10:$N$10, 0), 1, 1) +
        INDEX(Arrearages!C$5:J$24, MATCH($A96, Arrearages!$B$5:$B$24, 0), MATCH('General Inputs'!$C$2, Arrearages!$C$4:$J$4, 0))),"Data Missing")</f>
        <v>128.32637543752634</v>
      </c>
      <c r="F96" s="17">
        <f ca="1">IFERROR(IF(VALUE(RIGHT($B$82,2))&gt;$A96,0,AVERAGEIFS(Elec_Off_Peak, 'Avoided AC'!$D:$D, $B96, 'Avoided AC'!$E:$E, "Winter") +
        INDEX(AEPS!$S$8:$S$37, MATCH($A96, 'General Inputs'!$F$3:$F$32, 0)) +
        OFFSET(DRIPE!$I$10, MATCH('LI Output'!$B96, DRIPE!$I$11:$I$30, 0), MATCH('LI Output'!$B$82, DRIPE!$J$10:$N$10, 0), 1, 1) +
        INDEX(Arrearages!C$5:J$24, MATCH($A96, Arrearages!$B$5:$B$24, 0), MATCH('General Inputs'!$C$2, Arrearages!$C$4:$J$4, 0))),"Data Missing")</f>
        <v>108.69967715704045</v>
      </c>
      <c r="G96" s="17">
        <f ca="1">IFERROR(IF(VALUE(RIGHT($B$82,2))&gt;$A96,0,AVERAGEIFS(Elec_On_Peak, 'Avoided AC'!$D:$D, $B96, 'Avoided AC'!$E:$E, "Shoulder") +
        INDEX(AEPS!$S$8:$S$37, MATCH($A96, 'General Inputs'!$F$3:$F$32, 0)) +
        OFFSET(DRIPE!$I$10, MATCH('LI Output'!$B96, DRIPE!$I$11:$I$30, 0), MATCH('LI Output'!$B$82, DRIPE!$J$10:$N$10, 0), 1, 1) +
        INDEX(Arrearages!C$5:J$24, MATCH($A96, Arrearages!$B$5:$B$24, 0), MATCH('General Inputs'!$C$2, Arrearages!$C$4:$J$4, 0))),"Data Missing")</f>
        <v>95.852726665662999</v>
      </c>
      <c r="H96" s="17">
        <f ca="1">IFERROR(IF(VALUE(RIGHT($B$82,2))&gt;$A96,0,AVERAGEIFS(Elec_Off_Peak, 'Avoided AC'!$D:$D, $B96, 'Avoided AC'!$E:$E, "Shoulder") +
        INDEX(AEPS!$S$8:$S$37, MATCH($A96, 'General Inputs'!$F$3:$F$32, 0)) +
        OFFSET(DRIPE!$I$10, MATCH('LI Output'!$B96, DRIPE!$I$11:$I$30, 0), MATCH('LI Output'!$B$82, DRIPE!$J$10:$N$10, 0), 1, 1) +
        INDEX(Arrearages!C$5:J$24, MATCH($A96, Arrearages!$B$5:$B$24, 0), MATCH('General Inputs'!$C$2, Arrearages!$C$4:$J$4, 0))),"Data Missing")</f>
        <v>79.213621063994552</v>
      </c>
      <c r="I96" s="17">
        <f ca="1">(IF(VALUE(RIGHT($B$82,2))&gt;$A96,0,INDEX('Generation Capacity'!$E$27:$K$48,MATCH($A96,'Generation Capacity'!$B$27:$B$48,FALSE),MATCH(EDC_NAME,'Generation Capacity'!$E$26:$K$26,FALSE))+
        OFFSET(DRIPE!$B$35,MATCH('LI Output'!$B96,DRIPE!$B$11:$B$30,0),MATCH('LI Output'!$B$82,DRIPE!$C$10:$G$10,0),1,1)))</f>
        <v>31.260820928258536</v>
      </c>
      <c r="J96" s="17">
        <f ca="1">(IF(VALUE(RIGHT($B$82,2))&gt;$A96,0,INDEX('Generation Capacity'!$E$27:$K$48,MATCH($A96,'Generation Capacity'!$B$27:$B$48,FALSE),MATCH(EDC_NAME,'Generation Capacity'!$E$26:$K$26,FALSE))+
        OFFSET(DRIPE!$I$35,MATCH('LI Output'!$B96,DRIPE!$B$11:$B$30,0),MATCH('LI Output'!$B$82,DRIPE!$C$10:$G$10,0),1,1)))</f>
        <v>31.260820928258536</v>
      </c>
      <c r="K96" s="17">
        <f ca="1">IFERROR(IF(VALUE(RIGHT($B$82,2))&gt;$A96,0,INDEX('T&amp;D Capacity'!$E$4:$K$23,MATCH($A96,'T&amp;D Capacity'!$B$4:$B$23,FALSE),MATCH(EDC_NAME,'T&amp;D Capacity'!$E$3:$K$3,FALSE))),0)</f>
        <v>10.838077656610132</v>
      </c>
      <c r="L96" s="17">
        <f ca="1">IFERROR(IF(VALUE(RIGHT($B$82,2))&gt;$A96,0,INDEX('T&amp;D Capacity'!$E$28:$K$47,MATCH($A96,'T&amp;D Capacity'!$B$28:$B$47,FALSE),MATCH(EDC_NAME,'T&amp;D Capacity'!$E$27:$K$27,FALSE))),0)</f>
        <v>10.838077656610132</v>
      </c>
      <c r="M96" s="17">
        <f ca="1">IFERROR(IF(VALUE(RIGHT($B$82,2))&gt;$A96,0,INDEX('T&amp;D Capacity'!$M$4:$S$23,MATCH($A96,'T&amp;D Capacity'!$B$4:$B$23,FALSE),MATCH(EDC_NAME,'T&amp;D Capacity'!$M$3:$S$3,FALSE))),0)</f>
        <v>70.336490699842841</v>
      </c>
      <c r="N96" s="17">
        <f ca="1">IFERROR(IF(VALUE(RIGHT($B$82,2))&gt;$A96,0,INDEX('T&amp;D Capacity'!$M$28:$S$47,MATCH($A96,'T&amp;D Capacity'!$B$28:$B$47,FALSE),MATCH(EDC_NAME,'T&amp;D Capacity'!$M$27:$S$27,FALSE))),0)</f>
        <v>10.199278428468112</v>
      </c>
      <c r="O96" s="18">
        <f>IFERROR(IF(VALUE(RIGHT($B$82,2))&gt;$A96,0,IFERROR(AVERAGEIF('NG Futures'!$E:$E,$B96,'NG Futures'!$I:$I),"Data Missing")),0)</f>
        <v>4.7349761155534029</v>
      </c>
      <c r="P96" s="323" t="s">
        <v>129</v>
      </c>
    </row>
    <row r="97" spans="1:16" s="50" customFormat="1" ht="15" customHeight="1" x14ac:dyDescent="0.2">
      <c r="A97" s="124">
        <f t="shared" si="6"/>
        <v>29</v>
      </c>
      <c r="B97" s="124">
        <f t="shared" si="6"/>
        <v>2038</v>
      </c>
      <c r="C97" s="122">
        <f ca="1">IFERROR(IF(VALUE(RIGHT($B$82,2))&gt;$A97,0,AVERAGEIFS(Elec_On_Peak, 'Avoided AC'!$D:$D, $B97, 'Avoided AC'!$E:$E, "Summer") +
        INDEX(AEPS!$S$8:$S$37, MATCH($A97, 'General Inputs'!$F$3:$F$32, 0)) +
        OFFSET(DRIPE!$I$10, MATCH('LI Output'!$B97, DRIPE!$I$11:$I$30, 0), MATCH('LI Output'!$B$82, DRIPE!$J$10:$N$10, 0), 1, 1) +
        INDEX(Arrearages!C$5:J$24, MATCH($A97, Arrearages!$B$5:$B$24, 0), MATCH('General Inputs'!$C$2, Arrearages!$C$4:$J$4, 0))),"Data Missing")</f>
        <v>107.97700169126259</v>
      </c>
      <c r="D97" s="17">
        <f ca="1">IFERROR(IF(VALUE(RIGHT($B$82,2))&gt;$A97,0,AVERAGEIFS(Elec_Off_Peak, 'Avoided AC'!$D:$D, $B97, 'Avoided AC'!$E:$E, "Summer") +
        INDEX(AEPS!$S$8:$S$37, MATCH($A97, 'General Inputs'!$F$3:$F$32, 0)) +
        OFFSET(DRIPE!$I$10, MATCH('LI Output'!$B97, DRIPE!$I$11:$I$30, 0), MATCH('LI Output'!$B$82, DRIPE!$J$10:$N$10, 0), 1, 1) +
        INDEX(Arrearages!C$5:J$24, MATCH($A97, Arrearages!$B$5:$B$24, 0), MATCH('General Inputs'!$C$2, Arrearages!$C$4:$J$4, 0))),"Data Missing")</f>
        <v>74.758932467007128</v>
      </c>
      <c r="E97" s="17">
        <f ca="1">IFERROR(IF(VALUE(RIGHT($B$82,2))&gt;$A97,0,AVERAGEIFS(Elec_On_Peak, 'Avoided AC'!$D:$D, $B97, 'Avoided AC'!$E:$E, "Winter") +
        INDEX(AEPS!$S$8:$S$37, MATCH($A97, 'General Inputs'!$F$3:$F$32, 0)) +
        OFFSET(DRIPE!$I$10, MATCH('LI Output'!$B97, DRIPE!$I$11:$I$30, 0), MATCH('LI Output'!$B$82, DRIPE!$J$10:$N$10, 0), 1, 1) +
        INDEX(Arrearages!C$5:J$24, MATCH($A97, Arrearages!$B$5:$B$24, 0), MATCH('General Inputs'!$C$2, Arrearages!$C$4:$J$4, 0))),"Data Missing")</f>
        <v>127.0446302183162</v>
      </c>
      <c r="F97" s="17">
        <f ca="1">IFERROR(IF(VALUE(RIGHT($B$82,2))&gt;$A97,0,AVERAGEIFS(Elec_Off_Peak, 'Avoided AC'!$D:$D, $B97, 'Avoided AC'!$E:$E, "Winter") +
        INDEX(AEPS!$S$8:$S$37, MATCH($A97, 'General Inputs'!$F$3:$F$32, 0)) +
        OFFSET(DRIPE!$I$10, MATCH('LI Output'!$B97, DRIPE!$I$11:$I$30, 0), MATCH('LI Output'!$B$82, DRIPE!$J$10:$N$10, 0), 1, 1) +
        INDEX(Arrearages!C$5:J$24, MATCH($A97, Arrearages!$B$5:$B$24, 0), MATCH('General Inputs'!$C$2, Arrearages!$C$4:$J$4, 0))),"Data Missing")</f>
        <v>108.00662185294482</v>
      </c>
      <c r="G97" s="17">
        <f ca="1">IFERROR(IF(VALUE(RIGHT($B$82,2))&gt;$A97,0,AVERAGEIFS(Elec_On_Peak, 'Avoided AC'!$D:$D, $B97, 'Avoided AC'!$E:$E, "Shoulder") +
        INDEX(AEPS!$S$8:$S$37, MATCH($A97, 'General Inputs'!$F$3:$F$32, 0)) +
        OFFSET(DRIPE!$I$10, MATCH('LI Output'!$B97, DRIPE!$I$11:$I$30, 0), MATCH('LI Output'!$B$82, DRIPE!$J$10:$N$10, 0), 1, 1) +
        INDEX(Arrearages!C$5:J$24, MATCH($A97, Arrearages!$B$5:$B$24, 0), MATCH('General Inputs'!$C$2, Arrearages!$C$4:$J$4, 0))),"Data Missing")</f>
        <v>95.566735429649896</v>
      </c>
      <c r="H97" s="17">
        <f ca="1">IFERROR(IF(VALUE(RIGHT($B$82,2))&gt;$A97,0,AVERAGEIFS(Elec_Off_Peak, 'Avoided AC'!$D:$D, $B97, 'Avoided AC'!$E:$E, "Shoulder") +
        INDEX(AEPS!$S$8:$S$37, MATCH($A97, 'General Inputs'!$F$3:$F$32, 0)) +
        OFFSET(DRIPE!$I$10, MATCH('LI Output'!$B97, DRIPE!$I$11:$I$30, 0), MATCH('LI Output'!$B$82, DRIPE!$J$10:$N$10, 0), 1, 1) +
        INDEX(Arrearages!C$5:J$24, MATCH($A97, Arrearages!$B$5:$B$24, 0), MATCH('General Inputs'!$C$2, Arrearages!$C$4:$J$4, 0))),"Data Missing")</f>
        <v>79.206308938173123</v>
      </c>
      <c r="I97" s="17">
        <f ca="1">(IF(VALUE(RIGHT($B$82,2))&gt;$A97,0,INDEX('Generation Capacity'!$E$27:$K$48,MATCH($A97,'Generation Capacity'!$B$27:$B$48,FALSE),MATCH(EDC_NAME,'Generation Capacity'!$E$26:$K$26,FALSE))+
        OFFSET(DRIPE!$B$35,MATCH('LI Output'!$B97,DRIPE!$B$11:$B$30,0),MATCH('LI Output'!$B$82,DRIPE!$C$10:$G$10,0),1,1)))</f>
        <v>31.908402391307927</v>
      </c>
      <c r="J97" s="17">
        <f ca="1">(IF(VALUE(RIGHT($B$82,2))&gt;$A97,0,INDEX('Generation Capacity'!$E$27:$K$48,MATCH($A97,'Generation Capacity'!$B$27:$B$48,FALSE),MATCH(EDC_NAME,'Generation Capacity'!$E$26:$K$26,FALSE))+
        OFFSET(DRIPE!$I$35,MATCH('LI Output'!$B97,DRIPE!$B$11:$B$30,0),MATCH('LI Output'!$B$82,DRIPE!$C$10:$G$10,0),1,1)))</f>
        <v>31.908402391307927</v>
      </c>
      <c r="K97" s="17">
        <f ca="1">IFERROR(IF(VALUE(RIGHT($B$82,2))&gt;$A97,0,INDEX('T&amp;D Capacity'!$E$4:$K$23,MATCH($A97,'T&amp;D Capacity'!$B$4:$B$23,FALSE),MATCH(EDC_NAME,'T&amp;D Capacity'!$E$3:$K$3,FALSE))),0)</f>
        <v>11.062593135637941</v>
      </c>
      <c r="L97" s="17">
        <f ca="1">IFERROR(IF(VALUE(RIGHT($B$82,2))&gt;$A97,0,INDEX('T&amp;D Capacity'!$E$28:$K$47,MATCH($A97,'T&amp;D Capacity'!$B$28:$B$47,FALSE),MATCH(EDC_NAME,'T&amp;D Capacity'!$E$27:$K$27,FALSE))),0)</f>
        <v>11.062593135637941</v>
      </c>
      <c r="M97" s="17">
        <f ca="1">IFERROR(IF(VALUE(RIGHT($B$82,2))&gt;$A97,0,INDEX('T&amp;D Capacity'!$M$4:$S$23,MATCH($A97,'T&amp;D Capacity'!$B$4:$B$23,FALSE),MATCH(EDC_NAME,'T&amp;D Capacity'!$M$3:$S$3,FALSE))),0)</f>
        <v>71.793541608956687</v>
      </c>
      <c r="N97" s="17">
        <f ca="1">IFERROR(IF(VALUE(RIGHT($B$82,2))&gt;$A97,0,INDEX('T&amp;D Capacity'!$M$28:$S$47,MATCH($A97,'T&amp;D Capacity'!$B$28:$B$47,FALSE),MATCH(EDC_NAME,'T&amp;D Capacity'!$M$27:$S$27,FALSE))),0)</f>
        <v>10.410560904443814</v>
      </c>
      <c r="O97" s="18">
        <f>IFERROR(IF(VALUE(RIGHT($B$82,2))&gt;$A97,0,IFERROR(AVERAGEIF('NG Futures'!$E:$E,$B97,'NG Futures'!$I:$I),"Data Missing")),0)</f>
        <v>4.6357120000208072</v>
      </c>
      <c r="P97" s="324"/>
    </row>
    <row r="98" spans="1:16" s="50" customFormat="1" ht="15" customHeight="1" x14ac:dyDescent="0.2">
      <c r="A98" s="124">
        <f t="shared" si="6"/>
        <v>30</v>
      </c>
      <c r="B98" s="124">
        <f t="shared" si="6"/>
        <v>2039</v>
      </c>
      <c r="C98" s="122">
        <f ca="1">IFERROR(IF(VALUE(RIGHT($B$82,2))&gt;$A98,0,AVERAGEIFS(Elec_On_Peak, 'Avoided AC'!$D:$D, $B98, 'Avoided AC'!$E:$E, "Summer") +
        INDEX(AEPS!$S$8:$S$37, MATCH($A98, 'General Inputs'!$F$3:$F$32, 0)) +
        OFFSET(DRIPE!$I$10, MATCH('LI Output'!$B98, DRIPE!$I$11:$I$30, 0), MATCH('LI Output'!$B$82, DRIPE!$J$10:$N$10, 0), 1, 1) +
        INDEX(Arrearages!C$5:J$24, MATCH($A98, Arrearages!$B$5:$B$24, 0), MATCH('General Inputs'!$C$2, Arrearages!$C$4:$J$4, 0))),"Data Missing")</f>
        <v>108.00936567689774</v>
      </c>
      <c r="D98" s="17">
        <f ca="1">IFERROR(IF(VALUE(RIGHT($B$82,2))&gt;$A98,0,AVERAGEIFS(Elec_Off_Peak, 'Avoided AC'!$D:$D, $B98, 'Avoided AC'!$E:$E, "Summer") +
        INDEX(AEPS!$S$8:$S$37, MATCH($A98, 'General Inputs'!$F$3:$F$32, 0)) +
        OFFSET(DRIPE!$I$10, MATCH('LI Output'!$B98, DRIPE!$I$11:$I$30, 0), MATCH('LI Output'!$B$82, DRIPE!$J$10:$N$10, 0), 1, 1) +
        INDEX(Arrearages!C$5:J$24, MATCH($A98, Arrearages!$B$5:$B$24, 0), MATCH('General Inputs'!$C$2, Arrearages!$C$4:$J$4, 0))),"Data Missing")</f>
        <v>74.974653976476645</v>
      </c>
      <c r="E98" s="17">
        <f ca="1">IFERROR(IF(VALUE(RIGHT($B$82,2))&gt;$A98,0,AVERAGEIFS(Elec_On_Peak, 'Avoided AC'!$D:$D, $B98, 'Avoided AC'!$E:$E, "Winter") +
        INDEX(AEPS!$S$8:$S$37, MATCH($A98, 'General Inputs'!$F$3:$F$32, 0)) +
        OFFSET(DRIPE!$I$10, MATCH('LI Output'!$B98, DRIPE!$I$11:$I$30, 0), MATCH('LI Output'!$B$82, DRIPE!$J$10:$N$10, 0), 1, 1) +
        INDEX(Arrearages!C$5:J$24, MATCH($A98, Arrearages!$B$5:$B$24, 0), MATCH('General Inputs'!$C$2, Arrearages!$C$4:$J$4, 0))),"Data Missing")</f>
        <v>126.23290362710769</v>
      </c>
      <c r="F98" s="17">
        <f ca="1">IFERROR(IF(VALUE(RIGHT($B$82,2))&gt;$A98,0,AVERAGEIFS(Elec_Off_Peak, 'Avoided AC'!$D:$D, $B98, 'Avoided AC'!$E:$E, "Winter") +
        INDEX(AEPS!$S$8:$S$37, MATCH($A98, 'General Inputs'!$F$3:$F$32, 0)) +
        OFFSET(DRIPE!$I$10, MATCH('LI Output'!$B98, DRIPE!$I$11:$I$30, 0), MATCH('LI Output'!$B$82, DRIPE!$J$10:$N$10, 0), 1, 1) +
        INDEX(Arrearages!C$5:J$24, MATCH($A98, Arrearages!$B$5:$B$24, 0), MATCH('General Inputs'!$C$2, Arrearages!$C$4:$J$4, 0))),"Data Missing")</f>
        <v>107.64104580831604</v>
      </c>
      <c r="G98" s="17">
        <f ca="1">IFERROR(IF(VALUE(RIGHT($B$82,2))&gt;$A98,0,AVERAGEIFS(Elec_On_Peak, 'Avoided AC'!$D:$D, $B98, 'Avoided AC'!$E:$E, "Shoulder") +
        INDEX(AEPS!$S$8:$S$37, MATCH($A98, 'General Inputs'!$F$3:$F$32, 0)) +
        OFFSET(DRIPE!$I$10, MATCH('LI Output'!$B98, DRIPE!$I$11:$I$30, 0), MATCH('LI Output'!$B$82, DRIPE!$J$10:$N$10, 0), 1, 1) +
        INDEX(Arrearages!C$5:J$24, MATCH($A98, Arrearages!$B$5:$B$24, 0), MATCH('General Inputs'!$C$2, Arrearages!$C$4:$J$4, 0))),"Data Missing")</f>
        <v>95.509661113698854</v>
      </c>
      <c r="H98" s="17">
        <f ca="1">IFERROR(IF(VALUE(RIGHT($B$82,2))&gt;$A98,0,AVERAGEIFS(Elec_Off_Peak, 'Avoided AC'!$D:$D, $B98, 'Avoided AC'!$E:$E, "Shoulder") +
        INDEX(AEPS!$S$8:$S$37, MATCH($A98, 'General Inputs'!$F$3:$F$32, 0)) +
        OFFSET(DRIPE!$I$10, MATCH('LI Output'!$B98, DRIPE!$I$11:$I$30, 0), MATCH('LI Output'!$B$82, DRIPE!$J$10:$N$10, 0), 1, 1) +
        INDEX(Arrearages!C$5:J$24, MATCH($A98, Arrearages!$B$5:$B$24, 0), MATCH('General Inputs'!$C$2, Arrearages!$C$4:$J$4, 0))),"Data Missing")</f>
        <v>79.360437216559362</v>
      </c>
      <c r="I98" s="17">
        <f ca="1">(IF(VALUE(RIGHT($B$82,2))&gt;$A98,0,INDEX('Generation Capacity'!$E$27:$K$48,MATCH($A98,'Generation Capacity'!$B$27:$B$48,FALSE),MATCH(EDC_NAME,'Generation Capacity'!$E$26:$K$26,FALSE))+
        OFFSET(DRIPE!$B$35,MATCH('LI Output'!$B98,DRIPE!$B$11:$B$30,0),MATCH('LI Output'!$B$82,DRIPE!$C$10:$G$10,0),1,1)))</f>
        <v>32.569398785214304</v>
      </c>
      <c r="J98" s="17">
        <f ca="1">(IF(VALUE(RIGHT($B$82,2))&gt;$A98,0,INDEX('Generation Capacity'!$E$27:$K$48,MATCH($A98,'Generation Capacity'!$B$27:$B$48,FALSE),MATCH(EDC_NAME,'Generation Capacity'!$E$26:$K$26,FALSE))+
        OFFSET(DRIPE!$I$35,MATCH('LI Output'!$B98,DRIPE!$B$11:$B$30,0),MATCH('LI Output'!$B$82,DRIPE!$C$10:$G$10,0),1,1)))</f>
        <v>32.569398785214304</v>
      </c>
      <c r="K98" s="17">
        <f ca="1">IFERROR(IF(VALUE(RIGHT($B$82,2))&gt;$A98,0,INDEX('T&amp;D Capacity'!$E$4:$K$23,MATCH($A98,'T&amp;D Capacity'!$B$4:$B$23,FALSE),MATCH(EDC_NAME,'T&amp;D Capacity'!$E$3:$K$3,FALSE))),0)</f>
        <v>11.291759550184038</v>
      </c>
      <c r="L98" s="17">
        <f ca="1">IFERROR(IF(VALUE(RIGHT($B$82,2))&gt;$A98,0,INDEX('T&amp;D Capacity'!$E$28:$K$47,MATCH($A98,'T&amp;D Capacity'!$B$28:$B$47,FALSE),MATCH(EDC_NAME,'T&amp;D Capacity'!$E$27:$K$27,FALSE))),0)</f>
        <v>11.291759550184038</v>
      </c>
      <c r="M98" s="17">
        <f ca="1">IFERROR(IF(VALUE(RIGHT($B$82,2))&gt;$A98,0,INDEX('T&amp;D Capacity'!$M$4:$S$23,MATCH($A98,'T&amp;D Capacity'!$B$4:$B$23,FALSE),MATCH(EDC_NAME,'T&amp;D Capacity'!$M$3:$S$3,FALSE))),0)</f>
        <v>73.280775959561936</v>
      </c>
      <c r="N98" s="17">
        <f ca="1">IFERROR(IF(VALUE(RIGHT($B$82,2))&gt;$A98,0,INDEX('T&amp;D Capacity'!$M$28:$S$47,MATCH($A98,'T&amp;D Capacity'!$B$28:$B$47,FALSE),MATCH(EDC_NAME,'T&amp;D Capacity'!$M$27:$S$27,FALSE))),0)</f>
        <v>10.626220188540552</v>
      </c>
      <c r="O98" s="18">
        <f>IFERROR(IF(VALUE(RIGHT($B$82,2))&gt;$A98,0,IFERROR(AVERAGEIF('NG Futures'!$E:$E,$B98,'NG Futures'!$I:$I),"Data Missing")),0)</f>
        <v>4.5604826844447048</v>
      </c>
      <c r="P98" s="324"/>
    </row>
    <row r="99" spans="1:16" s="50" customFormat="1" ht="15" customHeight="1" x14ac:dyDescent="0.2">
      <c r="A99" s="124">
        <f t="shared" si="6"/>
        <v>31</v>
      </c>
      <c r="B99" s="124">
        <f t="shared" si="6"/>
        <v>2040</v>
      </c>
      <c r="C99" s="122">
        <f ca="1">IFERROR(IF(VALUE(RIGHT($B$82,2))&gt;$A99,0,AVERAGEIFS(Elec_On_Peak, 'Avoided AC'!$D:$D, $B99, 'Avoided AC'!$E:$E, "Summer") +
        INDEX(AEPS!$S$8:$S$37, MATCH($A99, 'General Inputs'!$F$3:$F$32, 0)) +
        OFFSET(DRIPE!$I$10, MATCH('LI Output'!$B99, DRIPE!$I$11:$I$30, 0), MATCH('LI Output'!$B$82, DRIPE!$J$10:$N$10, 0), 1, 1) +
        INDEX(Arrearages!C$5:J$24, MATCH($A99, Arrearages!$B$5:$B$24, 0), MATCH('General Inputs'!$C$2, Arrearages!$C$4:$J$4, 0))),"Data Missing")</f>
        <v>108.89398769395332</v>
      </c>
      <c r="D99" s="17">
        <f ca="1">IFERROR(IF(VALUE(RIGHT($B$82,2))&gt;$A99,0,AVERAGEIFS(Elec_Off_Peak, 'Avoided AC'!$D:$D, $B99, 'Avoided AC'!$E:$E, "Summer") +
        INDEX(AEPS!$S$8:$S$37, MATCH($A99, 'General Inputs'!$F$3:$F$32, 0)) +
        OFFSET(DRIPE!$I$10, MATCH('LI Output'!$B99, DRIPE!$I$11:$I$30, 0), MATCH('LI Output'!$B$82, DRIPE!$J$10:$N$10, 0), 1, 1) +
        INDEX(Arrearages!C$5:J$24, MATCH($A99, Arrearages!$B$5:$B$24, 0), MATCH('General Inputs'!$C$2, Arrearages!$C$4:$J$4, 0))),"Data Missing")</f>
        <v>75.781166368535537</v>
      </c>
      <c r="E99" s="17">
        <f ca="1">IFERROR(IF(VALUE(RIGHT($B$82,2))&gt;$A99,0,AVERAGEIFS(Elec_On_Peak, 'Avoided AC'!$D:$D, $B99, 'Avoided AC'!$E:$E, "Winter") +
        INDEX(AEPS!$S$8:$S$37, MATCH($A99, 'General Inputs'!$F$3:$F$32, 0)) +
        OFFSET(DRIPE!$I$10, MATCH('LI Output'!$B99, DRIPE!$I$11:$I$30, 0), MATCH('LI Output'!$B$82, DRIPE!$J$10:$N$10, 0), 1, 1) +
        INDEX(Arrearages!C$5:J$24, MATCH($A99, Arrearages!$B$5:$B$24, 0), MATCH('General Inputs'!$C$2, Arrearages!$C$4:$J$4, 0))),"Data Missing")</f>
        <v>127.47710509878132</v>
      </c>
      <c r="F99" s="17">
        <f ca="1">IFERROR(IF(VALUE(RIGHT($B$82,2))&gt;$A99,0,AVERAGEIFS(Elec_Off_Peak, 'Avoided AC'!$D:$D, $B99, 'Avoided AC'!$E:$E, "Winter") +
        INDEX(AEPS!$S$8:$S$37, MATCH($A99, 'General Inputs'!$F$3:$F$32, 0)) +
        OFFSET(DRIPE!$I$10, MATCH('LI Output'!$B99, DRIPE!$I$11:$I$30, 0), MATCH('LI Output'!$B$82, DRIPE!$J$10:$N$10, 0), 1, 1) +
        INDEX(Arrearages!C$5:J$24, MATCH($A99, Arrearages!$B$5:$B$24, 0), MATCH('General Inputs'!$C$2, Arrearages!$C$4:$J$4, 0))),"Data Missing")</f>
        <v>108.69518880212277</v>
      </c>
      <c r="G99" s="17">
        <f ca="1">IFERROR(IF(VALUE(RIGHT($B$82,2))&gt;$A99,0,AVERAGEIFS(Elec_On_Peak, 'Avoided AC'!$D:$D, $B99, 'Avoided AC'!$E:$E, "Shoulder") +
        INDEX(AEPS!$S$8:$S$37, MATCH($A99, 'General Inputs'!$F$3:$F$32, 0)) +
        OFFSET(DRIPE!$I$10, MATCH('LI Output'!$B99, DRIPE!$I$11:$I$30, 0), MATCH('LI Output'!$B$82, DRIPE!$J$10:$N$10, 0), 1, 1) +
        INDEX(Arrearages!C$5:J$24, MATCH($A99, Arrearages!$B$5:$B$24, 0), MATCH('General Inputs'!$C$2, Arrearages!$C$4:$J$4, 0))),"Data Missing")</f>
        <v>96.432383515462632</v>
      </c>
      <c r="H99" s="17">
        <f ca="1">IFERROR(IF(VALUE(RIGHT($B$82,2))&gt;$A99,0,AVERAGEIFS(Elec_Off_Peak, 'Avoided AC'!$D:$D, $B99, 'Avoided AC'!$E:$E, "Shoulder") +
        INDEX(AEPS!$S$8:$S$37, MATCH($A99, 'General Inputs'!$F$3:$F$32, 0)) +
        OFFSET(DRIPE!$I$10, MATCH('LI Output'!$B99, DRIPE!$I$11:$I$30, 0), MATCH('LI Output'!$B$82, DRIPE!$J$10:$N$10, 0), 1, 1) +
        INDEX(Arrearages!C$5:J$24, MATCH($A99, Arrearages!$B$5:$B$24, 0), MATCH('General Inputs'!$C$2, Arrearages!$C$4:$J$4, 0))),"Data Missing")</f>
        <v>80.193188096582332</v>
      </c>
      <c r="I99" s="17">
        <f ca="1">(IF(VALUE(RIGHT($B$82,2))&gt;$A99,0,INDEX('Generation Capacity'!$E$27:$K$48,MATCH($A99,'Generation Capacity'!$B$27:$B$48,FALSE),MATCH(EDC_NAME,'Generation Capacity'!$E$26:$K$26,FALSE))+
        OFFSET(DRIPE!$B$35,MATCH('LI Output'!$B99,DRIPE!$B$11:$B$30,0),MATCH('LI Output'!$B$82,DRIPE!$C$10:$G$10,0),1,1)))</f>
        <v>33.244088006088298</v>
      </c>
      <c r="J99" s="17">
        <f ca="1">(IF(VALUE(RIGHT($B$82,2))&gt;$A99,0,INDEX('Generation Capacity'!$E$27:$K$48,MATCH($A99,'Generation Capacity'!$B$27:$B$48,FALSE),MATCH(EDC_NAME,'Generation Capacity'!$E$26:$K$26,FALSE))+
        OFFSET(DRIPE!$I$35,MATCH('LI Output'!$B99,DRIPE!$B$11:$B$30,0),MATCH('LI Output'!$B$82,DRIPE!$C$10:$G$10,0),1,1)))</f>
        <v>33.244088006088298</v>
      </c>
      <c r="K99" s="17">
        <f ca="1">IFERROR(IF(VALUE(RIGHT($B$82,2))&gt;$A99,0,INDEX('T&amp;D Capacity'!$E$4:$K$23,MATCH($A99,'T&amp;D Capacity'!$B$4:$B$23,FALSE),MATCH(EDC_NAME,'T&amp;D Capacity'!$E$3:$K$3,FALSE))),0)</f>
        <v>11.525673246394749</v>
      </c>
      <c r="L99" s="17">
        <f ca="1">IFERROR(IF(VALUE(RIGHT($B$82,2))&gt;$A99,0,INDEX('T&amp;D Capacity'!$E$28:$K$47,MATCH($A99,'T&amp;D Capacity'!$B$28:$B$47,FALSE),MATCH(EDC_NAME,'T&amp;D Capacity'!$E$27:$K$27,FALSE))),0)</f>
        <v>11.525673246394749</v>
      </c>
      <c r="M99" s="17">
        <f ca="1">IFERROR(IF(VALUE(RIGHT($B$82,2))&gt;$A99,0,INDEX('T&amp;D Capacity'!$M$4:$S$23,MATCH($A99,'T&amp;D Capacity'!$B$4:$B$23,FALSE),MATCH(EDC_NAME,'T&amp;D Capacity'!$M$3:$S$3,FALSE))),0)</f>
        <v>74.798819014739365</v>
      </c>
      <c r="N99" s="17">
        <f ca="1">IFERROR(IF(VALUE(RIGHT($B$82,2))&gt;$A99,0,INDEX('T&amp;D Capacity'!$M$28:$S$47,MATCH($A99,'T&amp;D Capacity'!$B$28:$B$47,FALSE),MATCH(EDC_NAME,'T&amp;D Capacity'!$M$27:$S$27,FALSE))),0)</f>
        <v>10.846346948236732</v>
      </c>
      <c r="O99" s="18">
        <f>IFERROR(IF(VALUE(RIGHT($B$82,2))&gt;$A99,0,IFERROR(AVERAGEIF('NG Futures'!$E:$E,$B99,'NG Futures'!$I:$I),"Data Missing")),0)</f>
        <v>4.5925300938202467</v>
      </c>
      <c r="P99" s="324"/>
    </row>
    <row r="100" spans="1:16" s="50" customFormat="1" ht="15" customHeight="1" x14ac:dyDescent="0.2">
      <c r="A100" s="124">
        <f t="shared" si="6"/>
        <v>32</v>
      </c>
      <c r="B100" s="124">
        <f t="shared" si="6"/>
        <v>2041</v>
      </c>
      <c r="C100" s="122">
        <f ca="1">IFERROR(IF(VALUE(RIGHT($B$82,2))&gt;$A100,0,AVERAGEIFS(Elec_On_Peak, 'Avoided AC'!$D:$D, $B100, 'Avoided AC'!$E:$E, "Summer") +
        INDEX(AEPS!$S$8:$S$37, MATCH($A100, 'General Inputs'!$F$3:$F$32, 0)) +
        OFFSET(DRIPE!$I$10, MATCH('LI Output'!$B100, DRIPE!$I$11:$I$30, 0), MATCH('LI Output'!$B$82, DRIPE!$J$10:$N$10, 0), 1, 1) +
        INDEX(Arrearages!C$5:J$24, MATCH($A100, Arrearages!$B$5:$B$24, 0), MATCH('General Inputs'!$C$2, Arrearages!$C$4:$J$4, 0))),"Data Missing")</f>
        <v>110.68050739041985</v>
      </c>
      <c r="D100" s="17">
        <f ca="1">IFERROR(IF(VALUE(RIGHT($B$82,2))&gt;$A100,0,AVERAGEIFS(Elec_Off_Peak, 'Avoided AC'!$D:$D, $B100, 'Avoided AC'!$E:$E, "Summer") +
        INDEX(AEPS!$S$8:$S$37, MATCH($A100, 'General Inputs'!$F$3:$F$32, 0)) +
        OFFSET(DRIPE!$I$10, MATCH('LI Output'!$B100, DRIPE!$I$11:$I$30, 0), MATCH('LI Output'!$B$82, DRIPE!$J$10:$N$10, 0), 1, 1) +
        INDEX(Arrearages!C$5:J$24, MATCH($A100, Arrearages!$B$5:$B$24, 0), MATCH('General Inputs'!$C$2, Arrearages!$C$4:$J$4, 0))),"Data Missing")</f>
        <v>77.212732217499507</v>
      </c>
      <c r="E100" s="17">
        <f ca="1">IFERROR(IF(VALUE(RIGHT($B$82,2))&gt;$A100,0,AVERAGEIFS(Elec_On_Peak, 'Avoided AC'!$D:$D, $B100, 'Avoided AC'!$E:$E, "Winter") +
        INDEX(AEPS!$S$8:$S$37, MATCH($A100, 'General Inputs'!$F$3:$F$32, 0)) +
        OFFSET(DRIPE!$I$10, MATCH('LI Output'!$B100, DRIPE!$I$11:$I$30, 0), MATCH('LI Output'!$B$82, DRIPE!$J$10:$N$10, 0), 1, 1) +
        INDEX(Arrearages!C$5:J$24, MATCH($A100, Arrearages!$B$5:$B$24, 0), MATCH('General Inputs'!$C$2, Arrearages!$C$4:$J$4, 0))),"Data Missing")</f>
        <v>130.89766299354926</v>
      </c>
      <c r="F100" s="17">
        <f ca="1">IFERROR(IF(VALUE(RIGHT($B$82,2))&gt;$A100,0,AVERAGEIFS(Elec_Off_Peak, 'Avoided AC'!$D:$D, $B100, 'Avoided AC'!$E:$E, "Winter") +
        INDEX(AEPS!$S$8:$S$37, MATCH($A100, 'General Inputs'!$F$3:$F$32, 0)) +
        OFFSET(DRIPE!$I$10, MATCH('LI Output'!$B100, DRIPE!$I$11:$I$30, 0), MATCH('LI Output'!$B$82, DRIPE!$J$10:$N$10, 0), 1, 1) +
        INDEX(Arrearages!C$5:J$24, MATCH($A100, Arrearages!$B$5:$B$24, 0), MATCH('General Inputs'!$C$2, Arrearages!$C$4:$J$4, 0))),"Data Missing")</f>
        <v>111.2520632779496</v>
      </c>
      <c r="G100" s="17">
        <f ca="1">IFERROR(IF(VALUE(RIGHT($B$82,2))&gt;$A100,0,AVERAGEIFS(Elec_On_Peak, 'Avoided AC'!$D:$D, $B100, 'Avoided AC'!$E:$E, "Shoulder") +
        INDEX(AEPS!$S$8:$S$37, MATCH($A100, 'General Inputs'!$F$3:$F$32, 0)) +
        OFFSET(DRIPE!$I$10, MATCH('LI Output'!$B100, DRIPE!$I$11:$I$30, 0), MATCH('LI Output'!$B$82, DRIPE!$J$10:$N$10, 0), 1, 1) +
        INDEX(Arrearages!C$5:J$24, MATCH($A100, Arrearages!$B$5:$B$24, 0), MATCH('General Inputs'!$C$2, Arrearages!$C$4:$J$4, 0))),"Data Missing")</f>
        <v>98.392042926069223</v>
      </c>
      <c r="H100" s="17">
        <f ca="1">IFERROR(IF(VALUE(RIGHT($B$82,2))&gt;$A100,0,AVERAGEIFS(Elec_Off_Peak, 'Avoided AC'!$D:$D, $B100, 'Avoided AC'!$E:$E, "Shoulder") +
        INDEX(AEPS!$S$8:$S$37, MATCH($A100, 'General Inputs'!$F$3:$F$32, 0)) +
        OFFSET(DRIPE!$I$10, MATCH('LI Output'!$B100, DRIPE!$I$11:$I$30, 0), MATCH('LI Output'!$B$82, DRIPE!$J$10:$N$10, 0), 1, 1) +
        INDEX(Arrearages!C$5:J$24, MATCH($A100, Arrearages!$B$5:$B$24, 0), MATCH('General Inputs'!$C$2, Arrearages!$C$4:$J$4, 0))),"Data Missing")</f>
        <v>81.7439895999985</v>
      </c>
      <c r="I100" s="17">
        <f ca="1">(IF(VALUE(RIGHT($B$82,2))&gt;$A100,0,INDEX('Generation Capacity'!$E$27:$K$48,MATCH($A100,'Generation Capacity'!$B$27:$B$48,FALSE),MATCH(EDC_NAME,'Generation Capacity'!$E$26:$K$26,FALSE))+
        OFFSET(DRIPE!$B$35,MATCH('LI Output'!$B100,DRIPE!$B$11:$B$30,0),MATCH('LI Output'!$B$82,DRIPE!$C$10:$G$10,0),1,1)))</f>
        <v>33.932753706778989</v>
      </c>
      <c r="J100" s="17">
        <f ca="1">(IF(VALUE(RIGHT($B$82,2))&gt;$A100,0,INDEX('Generation Capacity'!$E$27:$K$48,MATCH($A100,'Generation Capacity'!$B$27:$B$48,FALSE),MATCH(EDC_NAME,'Generation Capacity'!$E$26:$K$26,FALSE))+
        OFFSET(DRIPE!$I$35,MATCH('LI Output'!$B100,DRIPE!$B$11:$B$30,0),MATCH('LI Output'!$B$82,DRIPE!$C$10:$G$10,0),1,1)))</f>
        <v>33.932753706778989</v>
      </c>
      <c r="K100" s="17">
        <f ca="1">IFERROR(IF(VALUE(RIGHT($B$82,2))&gt;$A100,0,INDEX('T&amp;D Capacity'!$E$4:$K$23,MATCH($A100,'T&amp;D Capacity'!$B$4:$B$23,FALSE),MATCH(EDC_NAME,'T&amp;D Capacity'!$E$3:$K$3,FALSE))),0)</f>
        <v>11.76443256626861</v>
      </c>
      <c r="L100" s="17">
        <f ca="1">IFERROR(IF(VALUE(RIGHT($B$82,2))&gt;$A100,0,INDEX('T&amp;D Capacity'!$E$28:$K$47,MATCH($A100,'T&amp;D Capacity'!$B$28:$B$47,FALSE),MATCH(EDC_NAME,'T&amp;D Capacity'!$E$27:$K$27,FALSE))),0)</f>
        <v>11.76443256626861</v>
      </c>
      <c r="M100" s="17">
        <f ca="1">IFERROR(IF(VALUE(RIGHT($B$82,2))&gt;$A100,0,INDEX('T&amp;D Capacity'!$M$4:$S$23,MATCH($A100,'T&amp;D Capacity'!$B$4:$B$23,FALSE),MATCH(EDC_NAME,'T&amp;D Capacity'!$M$3:$S$3,FALSE))),0)</f>
        <v>76.34830899016562</v>
      </c>
      <c r="N100" s="17">
        <f ca="1">IFERROR(IF(VALUE(RIGHT($B$82,2))&gt;$A100,0,INDEX('T&amp;D Capacity'!$M$28:$S$47,MATCH($A100,'T&amp;D Capacity'!$B$28:$B$47,FALSE),MATCH(EDC_NAME,'T&amp;D Capacity'!$M$27:$S$27,FALSE))),0)</f>
        <v>11.071033729226899</v>
      </c>
      <c r="O100" s="18">
        <f>IFERROR(IF(VALUE(RIGHT($B$82,2))&gt;$A100,0,IFERROR(AVERAGEIF('NG Futures'!$E:$E,$B100,'NG Futures'!$I:$I),"Data Missing")),0)</f>
        <v>4.7381632505640319</v>
      </c>
      <c r="P100" s="324"/>
    </row>
    <row r="101" spans="1:16" s="50" customFormat="1" ht="15" customHeight="1" x14ac:dyDescent="0.2">
      <c r="A101" s="124">
        <f t="shared" si="6"/>
        <v>33</v>
      </c>
      <c r="B101" s="124">
        <f t="shared" si="6"/>
        <v>2042</v>
      </c>
      <c r="C101" s="122">
        <f ca="1">IFERROR(IF(VALUE(RIGHT($B$82,2))&gt;$A101,0,AVERAGEIFS(Elec_On_Peak, 'Avoided AC'!$D:$D, $B101, 'Avoided AC'!$E:$E, "Summer") +
        INDEX(AEPS!$S$8:$S$37, MATCH($A101, 'General Inputs'!$F$3:$F$32, 0)) +
        OFFSET(DRIPE!$I$10, MATCH('LI Output'!$B101, DRIPE!$I$11:$I$30, 0), MATCH('LI Output'!$B$82, DRIPE!$J$10:$N$10, 0), 1, 1) +
        INDEX(Arrearages!C$5:J$24, MATCH($A101, Arrearages!$B$5:$B$24, 0), MATCH('General Inputs'!$C$2, Arrearages!$C$4:$J$4, 0))),"Data Missing")</f>
        <v>112.61371129665545</v>
      </c>
      <c r="D101" s="17">
        <f ca="1">IFERROR(IF(VALUE(RIGHT($B$82,2))&gt;$A101,0,AVERAGEIFS(Elec_Off_Peak, 'Avoided AC'!$D:$D, $B101, 'Avoided AC'!$E:$E, "Summer") +
        INDEX(AEPS!$S$8:$S$37, MATCH($A101, 'General Inputs'!$F$3:$F$32, 0)) +
        OFFSET(DRIPE!$I$10, MATCH('LI Output'!$B101, DRIPE!$I$11:$I$30, 0), MATCH('LI Output'!$B$82, DRIPE!$J$10:$N$10, 0), 1, 1) +
        INDEX(Arrearages!C$5:J$24, MATCH($A101, Arrearages!$B$5:$B$24, 0), MATCH('General Inputs'!$C$2, Arrearages!$C$4:$J$4, 0))),"Data Missing")</f>
        <v>78.749339645012867</v>
      </c>
      <c r="E101" s="17">
        <f ca="1">IFERROR(IF(VALUE(RIGHT($B$82,2))&gt;$A101,0,AVERAGEIFS(Elec_On_Peak, 'Avoided AC'!$D:$D, $B101, 'Avoided AC'!$E:$E, "Winter") +
        INDEX(AEPS!$S$8:$S$37, MATCH($A101, 'General Inputs'!$F$3:$F$32, 0)) +
        OFFSET(DRIPE!$I$10, MATCH('LI Output'!$B101, DRIPE!$I$11:$I$30, 0), MATCH('LI Output'!$B$82, DRIPE!$J$10:$N$10, 0), 1, 1) +
        INDEX(Arrearages!C$5:J$24, MATCH($A101, Arrearages!$B$5:$B$24, 0), MATCH('General Inputs'!$C$2, Arrearages!$C$4:$J$4, 0))),"Data Missing")</f>
        <v>134.65660790837964</v>
      </c>
      <c r="F101" s="17">
        <f ca="1">IFERROR(IF(VALUE(RIGHT($B$82,2))&gt;$A101,0,AVERAGEIFS(Elec_Off_Peak, 'Avoided AC'!$D:$D, $B101, 'Avoided AC'!$E:$E, "Winter") +
        INDEX(AEPS!$S$8:$S$37, MATCH($A101, 'General Inputs'!$F$3:$F$32, 0)) +
        OFFSET(DRIPE!$I$10, MATCH('LI Output'!$B101, DRIPE!$I$11:$I$30, 0), MATCH('LI Output'!$B$82, DRIPE!$J$10:$N$10, 0), 1, 1) +
        INDEX(Arrearages!C$5:J$24, MATCH($A101, Arrearages!$B$5:$B$24, 0), MATCH('General Inputs'!$C$2, Arrearages!$C$4:$J$4, 0))),"Data Missing")</f>
        <v>114.04599878354874</v>
      </c>
      <c r="G101" s="17">
        <f ca="1">IFERROR(IF(VALUE(RIGHT($B$82,2))&gt;$A101,0,AVERAGEIFS(Elec_On_Peak, 'Avoided AC'!$D:$D, $B101, 'Avoided AC'!$E:$E, "Shoulder") +
        INDEX(AEPS!$S$8:$S$37, MATCH($A101, 'General Inputs'!$F$3:$F$32, 0)) +
        OFFSET(DRIPE!$I$10, MATCH('LI Output'!$B101, DRIPE!$I$11:$I$30, 0), MATCH('LI Output'!$B$82, DRIPE!$J$10:$N$10, 0), 1, 1) +
        INDEX(Arrearages!C$5:J$24, MATCH($A101, Arrearages!$B$5:$B$24, 0), MATCH('General Inputs'!$C$2, Arrearages!$C$4:$J$4, 0))),"Data Missing")</f>
        <v>100.51869902739462</v>
      </c>
      <c r="H101" s="17">
        <f ca="1">IFERROR(IF(VALUE(RIGHT($B$82,2))&gt;$A101,0,AVERAGEIFS(Elec_Off_Peak, 'Avoided AC'!$D:$D, $B101, 'Avoided AC'!$E:$E, "Shoulder") +
        INDEX(AEPS!$S$8:$S$37, MATCH($A101, 'General Inputs'!$F$3:$F$32, 0)) +
        OFFSET(DRIPE!$I$10, MATCH('LI Output'!$B101, DRIPE!$I$11:$I$30, 0), MATCH('LI Output'!$B$82, DRIPE!$J$10:$N$10, 0), 1, 1) +
        INDEX(Arrearages!C$5:J$24, MATCH($A101, Arrearages!$B$5:$B$24, 0), MATCH('General Inputs'!$C$2, Arrearages!$C$4:$J$4, 0))),"Data Missing")</f>
        <v>83.413821222788556</v>
      </c>
      <c r="I101" s="17">
        <f ca="1">(IF(VALUE(RIGHT($B$82,2))&gt;$A101,0,INDEX('Generation Capacity'!$E$27:$K$48,MATCH($A101,'Generation Capacity'!$B$27:$B$48,FALSE),MATCH(EDC_NAME,'Generation Capacity'!$E$26:$K$26,FALSE))+
        OFFSET(DRIPE!$B$35,MATCH('LI Output'!$B101,DRIPE!$B$11:$B$30,0),MATCH('LI Output'!$B$82,DRIPE!$C$10:$G$10,0),1,1)))</f>
        <v>34.635685416127252</v>
      </c>
      <c r="J101" s="17">
        <f ca="1">(IF(VALUE(RIGHT($B$82,2))&gt;$A101,0,INDEX('Generation Capacity'!$E$27:$K$48,MATCH($A101,'Generation Capacity'!$B$27:$B$48,FALSE),MATCH(EDC_NAME,'Generation Capacity'!$E$26:$K$26,FALSE))+
        OFFSET(DRIPE!$I$35,MATCH('LI Output'!$B101,DRIPE!$B$11:$B$30,0),MATCH('LI Output'!$B$82,DRIPE!$C$10:$G$10,0),1,1)))</f>
        <v>34.635685416127252</v>
      </c>
      <c r="K101" s="17">
        <f ca="1">IFERROR(IF(VALUE(RIGHT($B$82,2))&gt;$A101,0,INDEX('T&amp;D Capacity'!$E$4:$K$23,MATCH($A101,'T&amp;D Capacity'!$B$4:$B$23,FALSE),MATCH(EDC_NAME,'T&amp;D Capacity'!$E$3:$K$3,FALSE))),0)</f>
        <v>12.008137889001302</v>
      </c>
      <c r="L101" s="17">
        <f ca="1">IFERROR(IF(VALUE(RIGHT($B$82,2))&gt;$A101,0,INDEX('T&amp;D Capacity'!$E$28:$K$47,MATCH($A101,'T&amp;D Capacity'!$B$28:$B$47,FALSE),MATCH(EDC_NAME,'T&amp;D Capacity'!$E$27:$K$27,FALSE))),0)</f>
        <v>12.008137889001302</v>
      </c>
      <c r="M101" s="17">
        <f ca="1">IFERROR(IF(VALUE(RIGHT($B$82,2))&gt;$A101,0,INDEX('T&amp;D Capacity'!$M$4:$S$23,MATCH($A101,'T&amp;D Capacity'!$B$4:$B$23,FALSE),MATCH(EDC_NAME,'T&amp;D Capacity'!$M$3:$S$3,FALSE))),0)</f>
        <v>77.929897322431884</v>
      </c>
      <c r="N101" s="17">
        <f ca="1">IFERROR(IF(VALUE(RIGHT($B$82,2))&gt;$A101,0,INDEX('T&amp;D Capacity'!$M$28:$S$47,MATCH($A101,'T&amp;D Capacity'!$B$28:$B$47,FALSE),MATCH(EDC_NAME,'T&amp;D Capacity'!$M$27:$S$27,FALSE))),0)</f>
        <v>11.300374994329797</v>
      </c>
      <c r="O101" s="18">
        <f>IFERROR(IF(VALUE(RIGHT($B$82,2))&gt;$A101,0,IFERROR(AVERAGEIF('NG Futures'!$E:$E,$B101,'NG Futures'!$I:$I),"Data Missing")),0)</f>
        <v>4.9008818618881964</v>
      </c>
      <c r="P101" s="324"/>
    </row>
    <row r="102" spans="1:16" s="50" customFormat="1" ht="15" customHeight="1" x14ac:dyDescent="0.2">
      <c r="A102" s="124">
        <f t="shared" si="6"/>
        <v>34</v>
      </c>
      <c r="B102" s="124">
        <f t="shared" si="6"/>
        <v>2043</v>
      </c>
      <c r="C102" s="122">
        <f ca="1">IFERROR(IF(VALUE(RIGHT($B$82,2))&gt;$A102,0,AVERAGEIFS(Elec_On_Peak, 'Avoided AC'!$D:$D, $B102, 'Avoided AC'!$E:$E, "Summer") +
        INDEX(AEPS!$S$8:$S$37, MATCH($A102, 'General Inputs'!$F$3:$F$32, 0)) +
        OFFSET(DRIPE!$I$10, MATCH('LI Output'!$B102, DRIPE!$I$11:$I$30, 0), MATCH('LI Output'!$B$82, DRIPE!$J$10:$N$10, 0), 1, 1) +
        INDEX(Arrearages!C$5:J$24, MATCH($A102, Arrearages!$B$5:$B$24, 0), MATCH('General Inputs'!$C$2, Arrearages!$C$4:$J$4, 0))),"Data Missing")</f>
        <v>114.59786857394181</v>
      </c>
      <c r="D102" s="17">
        <f ca="1">IFERROR(IF(VALUE(RIGHT($B$82,2))&gt;$A102,0,AVERAGEIFS(Elec_Off_Peak, 'Avoided AC'!$D:$D, $B102, 'Avoided AC'!$E:$E, "Summer") +
        INDEX(AEPS!$S$8:$S$37, MATCH($A102, 'General Inputs'!$F$3:$F$32, 0)) +
        OFFSET(DRIPE!$I$10, MATCH('LI Output'!$B102, DRIPE!$I$11:$I$30, 0), MATCH('LI Output'!$B$82, DRIPE!$J$10:$N$10, 0), 1, 1) +
        INDEX(Arrearages!C$5:J$24, MATCH($A102, Arrearages!$B$5:$B$24, 0), MATCH('General Inputs'!$C$2, Arrearages!$C$4:$J$4, 0))),"Data Missing")</f>
        <v>80.325142454899378</v>
      </c>
      <c r="E102" s="17">
        <f ca="1">IFERROR(IF(VALUE(RIGHT($B$82,2))&gt;$A102,0,AVERAGEIFS(Elec_On_Peak, 'Avoided AC'!$D:$D, $B102, 'Avoided AC'!$E:$E, "Winter") +
        INDEX(AEPS!$S$8:$S$37, MATCH($A102, 'General Inputs'!$F$3:$F$32, 0)) +
        OFFSET(DRIPE!$I$10, MATCH('LI Output'!$B102, DRIPE!$I$11:$I$30, 0), MATCH('LI Output'!$B$82, DRIPE!$J$10:$N$10, 0), 1, 1) +
        INDEX(Arrearages!C$5:J$24, MATCH($A102, Arrearages!$B$5:$B$24, 0), MATCH('General Inputs'!$C$2, Arrearages!$C$4:$J$4, 0))),"Data Missing")</f>
        <v>138.52063436548531</v>
      </c>
      <c r="F102" s="17">
        <f ca="1">IFERROR(IF(VALUE(RIGHT($B$82,2))&gt;$A102,0,AVERAGEIFS(Elec_Off_Peak, 'Avoided AC'!$D:$D, $B102, 'Avoided AC'!$E:$E, "Winter") +
        INDEX(AEPS!$S$8:$S$37, MATCH($A102, 'General Inputs'!$F$3:$F$32, 0)) +
        OFFSET(DRIPE!$I$10, MATCH('LI Output'!$B102, DRIPE!$I$11:$I$30, 0), MATCH('LI Output'!$B$82, DRIPE!$J$10:$N$10, 0), 1, 1) +
        INDEX(Arrearages!C$5:J$24, MATCH($A102, Arrearages!$B$5:$B$24, 0), MATCH('General Inputs'!$C$2, Arrearages!$C$4:$J$4, 0))),"Data Missing")</f>
        <v>116.91640597148668</v>
      </c>
      <c r="G102" s="17">
        <f ca="1">IFERROR(IF(VALUE(RIGHT($B$82,2))&gt;$A102,0,AVERAGEIFS(Elec_On_Peak, 'Avoided AC'!$D:$D, $B102, 'Avoided AC'!$E:$E, "Shoulder") +
        INDEX(AEPS!$S$8:$S$37, MATCH($A102, 'General Inputs'!$F$3:$F$32, 0)) +
        OFFSET(DRIPE!$I$10, MATCH('LI Output'!$B102, DRIPE!$I$11:$I$30, 0), MATCH('LI Output'!$B$82, DRIPE!$J$10:$N$10, 0), 1, 1) +
        INDEX(Arrearages!C$5:J$24, MATCH($A102, Arrearages!$B$5:$B$24, 0), MATCH('General Inputs'!$C$2, Arrearages!$C$4:$J$4, 0))),"Data Missing")</f>
        <v>102.70204382230017</v>
      </c>
      <c r="H102" s="17">
        <f ca="1">IFERROR(IF(VALUE(RIGHT($B$82,2))&gt;$A102,0,AVERAGEIFS(Elec_Off_Peak, 'Avoided AC'!$D:$D, $B102, 'Avoided AC'!$E:$E, "Shoulder") +
        INDEX(AEPS!$S$8:$S$37, MATCH($A102, 'General Inputs'!$F$3:$F$32, 0)) +
        OFFSET(DRIPE!$I$10, MATCH('LI Output'!$B102, DRIPE!$I$11:$I$30, 0), MATCH('LI Output'!$B$82, DRIPE!$J$10:$N$10, 0), 1, 1) +
        INDEX(Arrearages!C$5:J$24, MATCH($A102, Arrearages!$B$5:$B$24, 0), MATCH('General Inputs'!$C$2, Arrearages!$C$4:$J$4, 0))),"Data Missing")</f>
        <v>85.126797956866881</v>
      </c>
      <c r="I102" s="17">
        <f ca="1">(IF(VALUE(RIGHT($B$82,2))&gt;$A102,0,INDEX('Generation Capacity'!$E$27:$K$48,MATCH($A102,'Generation Capacity'!$B$27:$B$48,FALSE),MATCH(EDC_NAME,'Generation Capacity'!$E$26:$K$26,FALSE))+
        OFFSET(DRIPE!$B$35,MATCH('LI Output'!$B102,DRIPE!$B$11:$B$30,0),MATCH('LI Output'!$B$82,DRIPE!$C$10:$G$10,0),1,1)))</f>
        <v>35.353178660689451</v>
      </c>
      <c r="J102" s="17">
        <f ca="1">(IF(VALUE(RIGHT($B$82,2))&gt;$A102,0,INDEX('Generation Capacity'!$E$27:$K$48,MATCH($A102,'Generation Capacity'!$B$27:$B$48,FALSE),MATCH(EDC_NAME,'Generation Capacity'!$E$26:$K$26,FALSE))+
        OFFSET(DRIPE!$I$35,MATCH('LI Output'!$B102,DRIPE!$B$11:$B$30,0),MATCH('LI Output'!$B$82,DRIPE!$C$10:$G$10,0),1,1)))</f>
        <v>35.353178660689451</v>
      </c>
      <c r="K102" s="17">
        <f ca="1">IFERROR(IF(VALUE(RIGHT($B$82,2))&gt;$A102,0,INDEX('T&amp;D Capacity'!$E$4:$K$23,MATCH($A102,'T&amp;D Capacity'!$B$4:$B$23,FALSE),MATCH(EDC_NAME,'T&amp;D Capacity'!$E$3:$K$3,FALSE))),0)</f>
        <v>12.256891673187081</v>
      </c>
      <c r="L102" s="17">
        <f ca="1">IFERROR(IF(VALUE(RIGHT($B$82,2))&gt;$A102,0,INDEX('T&amp;D Capacity'!$E$28:$K$47,MATCH($A102,'T&amp;D Capacity'!$B$28:$B$47,FALSE),MATCH(EDC_NAME,'T&amp;D Capacity'!$E$27:$K$27,FALSE))),0)</f>
        <v>12.256891673187081</v>
      </c>
      <c r="M102" s="17">
        <f ca="1">IFERROR(IF(VALUE(RIGHT($B$82,2))&gt;$A102,0,INDEX('T&amp;D Capacity'!$M$4:$S$23,MATCH($A102,'T&amp;D Capacity'!$B$4:$B$23,FALSE),MATCH(EDC_NAME,'T&amp;D Capacity'!$M$3:$S$3,FALSE))),0)</f>
        <v>79.544248942920845</v>
      </c>
      <c r="N102" s="17">
        <f ca="1">IFERROR(IF(VALUE(RIGHT($B$82,2))&gt;$A102,0,INDEX('T&amp;D Capacity'!$M$28:$S$47,MATCH($A102,'T&amp;D Capacity'!$B$28:$B$47,FALSE),MATCH(EDC_NAME,'T&amp;D Capacity'!$M$27:$S$27,FALSE))),0)</f>
        <v>11.534467163202425</v>
      </c>
      <c r="O102" s="18">
        <f>IFERROR(IF(VALUE(RIGHT($B$82,2))&gt;$A102,0,IFERROR(AVERAGEIF('NG Futures'!$E:$E,$B102,'NG Futures'!$I:$I),"Data Missing")),0)</f>
        <v>5.0684246299869011</v>
      </c>
      <c r="P102" s="324"/>
    </row>
    <row r="103" spans="1:16" s="50" customFormat="1" ht="15" customHeight="1" x14ac:dyDescent="0.2">
      <c r="A103" s="124">
        <f t="shared" si="6"/>
        <v>35</v>
      </c>
      <c r="B103" s="124">
        <f t="shared" si="6"/>
        <v>2044</v>
      </c>
      <c r="C103" s="122">
        <f ca="1">IFERROR(IF(VALUE(RIGHT($B$82,2))&gt;$A103,0,AVERAGEIFS(Elec_On_Peak, 'Avoided AC'!$D:$D, $B103, 'Avoided AC'!$E:$E, "Summer") +
        INDEX(AEPS!$S$8:$S$37, MATCH($A103, 'General Inputs'!$F$3:$F$32, 0)) +
        OFFSET(DRIPE!$I$10, MATCH('LI Output'!$B103, DRIPE!$I$11:$I$30, 0), MATCH('LI Output'!$B$82, DRIPE!$J$10:$N$10, 0), 1, 1) +
        INDEX(Arrearages!C$5:J$24, MATCH($A103, Arrearages!$B$5:$B$24, 0), MATCH('General Inputs'!$C$2, Arrearages!$C$4:$J$4, 0))),"Data Missing")</f>
        <v>116.1160415787043</v>
      </c>
      <c r="D103" s="17">
        <f ca="1">IFERROR(IF(VALUE(RIGHT($B$82,2))&gt;$A103,0,AVERAGEIFS(Elec_Off_Peak, 'Avoided AC'!$D:$D, $B103, 'Avoided AC'!$E:$E, "Summer") +
        INDEX(AEPS!$S$8:$S$37, MATCH($A103, 'General Inputs'!$F$3:$F$32, 0)) +
        OFFSET(DRIPE!$I$10, MATCH('LI Output'!$B103, DRIPE!$I$11:$I$30, 0), MATCH('LI Output'!$B$82, DRIPE!$J$10:$N$10, 0), 1, 1) +
        INDEX(Arrearages!C$5:J$24, MATCH($A103, Arrearages!$B$5:$B$24, 0), MATCH('General Inputs'!$C$2, Arrearages!$C$4:$J$4, 0))),"Data Missing")</f>
        <v>81.584224720108111</v>
      </c>
      <c r="E103" s="17">
        <f ca="1">IFERROR(IF(VALUE(RIGHT($B$82,2))&gt;$A103,0,AVERAGEIFS(Elec_On_Peak, 'Avoided AC'!$D:$D, $B103, 'Avoided AC'!$E:$E, "Winter") +
        INDEX(AEPS!$S$8:$S$37, MATCH($A103, 'General Inputs'!$F$3:$F$32, 0)) +
        OFFSET(DRIPE!$I$10, MATCH('LI Output'!$B103, DRIPE!$I$11:$I$30, 0), MATCH('LI Output'!$B$82, DRIPE!$J$10:$N$10, 0), 1, 1) +
        INDEX(Arrearages!C$5:J$24, MATCH($A103, Arrearages!$B$5:$B$24, 0), MATCH('General Inputs'!$C$2, Arrearages!$C$4:$J$4, 0))),"Data Missing")</f>
        <v>141.23153754696145</v>
      </c>
      <c r="F103" s="17">
        <f ca="1">IFERROR(IF(VALUE(RIGHT($B$82,2))&gt;$A103,0,AVERAGEIFS(Elec_Off_Peak, 'Avoided AC'!$D:$D, $B103, 'Avoided AC'!$E:$E, "Winter") +
        INDEX(AEPS!$S$8:$S$37, MATCH($A103, 'General Inputs'!$F$3:$F$32, 0)) +
        OFFSET(DRIPE!$I$10, MATCH('LI Output'!$B103, DRIPE!$I$11:$I$30, 0), MATCH('LI Output'!$B$82, DRIPE!$J$10:$N$10, 0), 1, 1) +
        INDEX(Arrearages!C$5:J$24, MATCH($A103, Arrearages!$B$5:$B$24, 0), MATCH('General Inputs'!$C$2, Arrearages!$C$4:$J$4, 0))),"Data Missing")</f>
        <v>118.99688247262625</v>
      </c>
      <c r="G103" s="17">
        <f ca="1">IFERROR(IF(VALUE(RIGHT($B$82,2))&gt;$A103,0,AVERAGEIFS(Elec_On_Peak, 'Avoided AC'!$D:$D, $B103, 'Avoided AC'!$E:$E, "Shoulder") +
        INDEX(AEPS!$S$8:$S$37, MATCH($A103, 'General Inputs'!$F$3:$F$32, 0)) +
        OFFSET(DRIPE!$I$10, MATCH('LI Output'!$B103, DRIPE!$I$11:$I$30, 0), MATCH('LI Output'!$B$82, DRIPE!$J$10:$N$10, 0), 1, 1) +
        INDEX(Arrearages!C$5:J$24, MATCH($A103, Arrearages!$B$5:$B$24, 0), MATCH('General Inputs'!$C$2, Arrearages!$C$4:$J$4, 0))),"Data Missing")</f>
        <v>104.34659634625449</v>
      </c>
      <c r="H103" s="17">
        <f ca="1">IFERROR(IF(VALUE(RIGHT($B$82,2))&gt;$A103,0,AVERAGEIFS(Elec_Off_Peak, 'Avoided AC'!$D:$D, $B103, 'Avoided AC'!$E:$E, "Shoulder") +
        INDEX(AEPS!$S$8:$S$37, MATCH($A103, 'General Inputs'!$F$3:$F$32, 0)) +
        OFFSET(DRIPE!$I$10, MATCH('LI Output'!$B103, DRIPE!$I$11:$I$30, 0), MATCH('LI Output'!$B$82, DRIPE!$J$10:$N$10, 0), 1, 1) +
        INDEX(Arrearages!C$5:J$24, MATCH($A103, Arrearages!$B$5:$B$24, 0), MATCH('General Inputs'!$C$2, Arrearages!$C$4:$J$4, 0))),"Data Missing")</f>
        <v>86.472913660677719</v>
      </c>
      <c r="I103" s="17">
        <f ca="1">(IF(VALUE(RIGHT($B$82,2))&gt;$A103,0,INDEX('Generation Capacity'!$E$27:$K$48,MATCH($A103,'Generation Capacity'!$B$27:$B$48,FALSE),MATCH(EDC_NAME,'Generation Capacity'!$E$26:$K$26,FALSE))+
        OFFSET(DRIPE!$B$35,MATCH('LI Output'!$B103,DRIPE!$B$11:$B$30,0),MATCH('LI Output'!$B$82,DRIPE!$C$10:$G$10,0),1,1)))</f>
        <v>36.085535088982752</v>
      </c>
      <c r="J103" s="17">
        <f ca="1">(IF(VALUE(RIGHT($B$82,2))&gt;$A103,0,INDEX('Generation Capacity'!$E$27:$K$48,MATCH($A103,'Generation Capacity'!$B$27:$B$48,FALSE),MATCH(EDC_NAME,'Generation Capacity'!$E$26:$K$26,FALSE))+
        OFFSET(DRIPE!$I$35,MATCH('LI Output'!$B103,DRIPE!$B$11:$B$30,0),MATCH('LI Output'!$B$82,DRIPE!$C$10:$G$10,0),1,1)))</f>
        <v>36.085535088982752</v>
      </c>
      <c r="K103" s="17">
        <f ca="1">IFERROR(IF(VALUE(RIGHT($B$82,2))&gt;$A103,0,INDEX('T&amp;D Capacity'!$E$4:$K$23,MATCH($A103,'T&amp;D Capacity'!$B$4:$B$23,FALSE),MATCH(EDC_NAME,'T&amp;D Capacity'!$E$3:$K$3,FALSE))),0)</f>
        <v>12.510798499894417</v>
      </c>
      <c r="L103" s="17">
        <f ca="1">IFERROR(IF(VALUE(RIGHT($B$82,2))&gt;$A103,0,INDEX('T&amp;D Capacity'!$E$28:$K$47,MATCH($A103,'T&amp;D Capacity'!$B$28:$B$47,FALSE),MATCH(EDC_NAME,'T&amp;D Capacity'!$E$27:$K$27,FALSE))),0)</f>
        <v>12.510798499894417</v>
      </c>
      <c r="M103" s="17">
        <f ca="1">IFERROR(IF(VALUE(RIGHT($B$82,2))&gt;$A103,0,INDEX('T&amp;D Capacity'!$M$4:$S$23,MATCH($A103,'T&amp;D Capacity'!$B$4:$B$23,FALSE),MATCH(EDC_NAME,'T&amp;D Capacity'!$M$3:$S$3,FALSE))),0)</f>
        <v>81.192042557357169</v>
      </c>
      <c r="N103" s="17">
        <f ca="1">IFERROR(IF(VALUE(RIGHT($B$82,2))&gt;$A103,0,INDEX('T&amp;D Capacity'!$M$28:$S$47,MATCH($A103,'T&amp;D Capacity'!$B$28:$B$47,FALSE),MATCH(EDC_NAME,'T&amp;D Capacity'!$M$27:$S$27,FALSE))),0)</f>
        <v>11.773408652876794</v>
      </c>
      <c r="O103" s="18">
        <f>IFERROR(IF(VALUE(RIGHT($B$82,2))&gt;$A103,0,IFERROR(AVERAGEIF('NG Futures'!$E:$E,$B103,'NG Futures'!$I:$I),"Data Missing")),0)</f>
        <v>5.1747263437160846</v>
      </c>
      <c r="P103" s="324"/>
    </row>
    <row r="104" spans="1:16" s="50" customFormat="1" ht="15" customHeight="1" x14ac:dyDescent="0.2">
      <c r="A104" s="124">
        <f t="shared" ref="A104:B105" si="7">A103+1</f>
        <v>36</v>
      </c>
      <c r="B104" s="124">
        <f t="shared" si="7"/>
        <v>2045</v>
      </c>
      <c r="C104" s="122">
        <f ca="1">IFERROR(IF(VALUE(RIGHT($B$82,2))&gt;$A104,0,AVERAGEIFS(Elec_On_Peak, 'Avoided AC'!$D:$D, $B104, 'Avoided AC'!$E:$E, "Summer") +
        INDEX(AEPS!$S$8:$S$37, MATCH($A104, 'General Inputs'!$F$3:$F$32, 0)) +
        OFFSET(DRIPE!$I$10, MATCH('LI Output'!$B104, DRIPE!$I$11:$I$30, 0), MATCH('LI Output'!$B$82, DRIPE!$J$10:$N$10, 0), 1, 1) +
        INDEX(Arrearages!C$5:J$24, MATCH($A104, Arrearages!$B$5:$B$24, 0), MATCH('General Inputs'!$C$2, Arrearages!$C$4:$J$4, 0))),"Data Missing")</f>
        <v>117.40754999431464</v>
      </c>
      <c r="D104" s="17">
        <f ca="1">IFERROR(IF(VALUE(RIGHT($B$82,2))&gt;$A104,0,AVERAGEIFS(Elec_Off_Peak, 'Avoided AC'!$D:$D, $B104, 'Avoided AC'!$E:$E, "Summer") +
        INDEX(AEPS!$S$8:$S$37, MATCH($A104, 'General Inputs'!$F$3:$F$32, 0)) +
        OFFSET(DRIPE!$I$10, MATCH('LI Output'!$B104, DRIPE!$I$11:$I$30, 0), MATCH('LI Output'!$B$82, DRIPE!$J$10:$N$10, 0), 1, 1) +
        INDEX(Arrearages!C$5:J$24, MATCH($A104, Arrearages!$B$5:$B$24, 0), MATCH('General Inputs'!$C$2, Arrearages!$C$4:$J$4, 0))),"Data Missing")</f>
        <v>82.691481825355112</v>
      </c>
      <c r="E104" s="17">
        <f ca="1">IFERROR(IF(VALUE(RIGHT($B$82,2))&gt;$A104,0,AVERAGEIFS(Elec_On_Peak, 'Avoided AC'!$D:$D, $B104, 'Avoided AC'!$E:$E, "Winter") +
        INDEX(AEPS!$S$8:$S$37, MATCH($A104, 'General Inputs'!$F$3:$F$32, 0)) +
        OFFSET(DRIPE!$I$10, MATCH('LI Output'!$B104, DRIPE!$I$11:$I$30, 0), MATCH('LI Output'!$B$82, DRIPE!$J$10:$N$10, 0), 1, 1) +
        INDEX(Arrearages!C$5:J$24, MATCH($A104, Arrearages!$B$5:$B$24, 0), MATCH('General Inputs'!$C$2, Arrearages!$C$4:$J$4, 0))),"Data Missing")</f>
        <v>143.37125110625209</v>
      </c>
      <c r="F104" s="17">
        <f ca="1">IFERROR(IF(VALUE(RIGHT($B$82,2))&gt;$A104,0,AVERAGEIFS(Elec_Off_Peak, 'Avoided AC'!$D:$D, $B104, 'Avoided AC'!$E:$E, "Winter") +
        INDEX(AEPS!$S$8:$S$37, MATCH($A104, 'General Inputs'!$F$3:$F$32, 0)) +
        OFFSET(DRIPE!$I$10, MATCH('LI Output'!$B104, DRIPE!$I$11:$I$30, 0), MATCH('LI Output'!$B$82, DRIPE!$J$10:$N$10, 0), 1, 1) +
        INDEX(Arrearages!C$5:J$24, MATCH($A104, Arrearages!$B$5:$B$24, 0), MATCH('General Inputs'!$C$2, Arrearages!$C$4:$J$4, 0))),"Data Missing")</f>
        <v>120.68827069948665</v>
      </c>
      <c r="G104" s="17">
        <f ca="1">IFERROR(IF(VALUE(RIGHT($B$82,2))&gt;$A104,0,AVERAGEIFS(Elec_On_Peak, 'Avoided AC'!$D:$D, $B104, 'Avoided AC'!$E:$E, "Shoulder") +
        INDEX(AEPS!$S$8:$S$37, MATCH($A104, 'General Inputs'!$F$3:$F$32, 0)) +
        OFFSET(DRIPE!$I$10, MATCH('LI Output'!$B104, DRIPE!$I$11:$I$30, 0), MATCH('LI Output'!$B$82, DRIPE!$J$10:$N$10, 0), 1, 1) +
        INDEX(Arrearages!C$5:J$24, MATCH($A104, Arrearages!$B$5:$B$24, 0), MATCH('General Inputs'!$C$2, Arrearages!$C$4:$J$4, 0))),"Data Missing")</f>
        <v>105.72797903546603</v>
      </c>
      <c r="H104" s="17">
        <f ca="1">IFERROR(IF(VALUE(RIGHT($B$82,2))&gt;$A104,0,AVERAGEIFS(Elec_Off_Peak, 'Avoided AC'!$D:$D, $B104, 'Avoided AC'!$E:$E, "Shoulder") +
        INDEX(AEPS!$S$8:$S$37, MATCH($A104, 'General Inputs'!$F$3:$F$32, 0)) +
        OFFSET(DRIPE!$I$10, MATCH('LI Output'!$B104, DRIPE!$I$11:$I$30, 0), MATCH('LI Output'!$B$82, DRIPE!$J$10:$N$10, 0), 1, 1) +
        INDEX(Arrearages!C$5:J$24, MATCH($A104, Arrearages!$B$5:$B$24, 0), MATCH('General Inputs'!$C$2, Arrearages!$C$4:$J$4, 0))),"Data Missing")</f>
        <v>87.642064236665846</v>
      </c>
      <c r="I104" s="17">
        <f ca="1">(IF(VALUE(RIGHT($B$82,2))&gt;$A104,0,INDEX('Generation Capacity'!$E$27:$K$48,MATCH($A104,'Generation Capacity'!$B$27:$B$48,FALSE),MATCH(EDC_NAME,'Generation Capacity'!$E$26:$K$26,FALSE))+
        OFFSET(DRIPE!$B$35,MATCH('LI Output'!$B104,DRIPE!$B$11:$B$30,0),MATCH('LI Output'!$B$82,DRIPE!$C$10:$G$10,0),1,1)))</f>
        <v>36.83306259830416</v>
      </c>
      <c r="J104" s="17">
        <f ca="1">(IF(VALUE(RIGHT($B$82,2))&gt;$A104,0,INDEX('Generation Capacity'!$E$27:$K$48,MATCH($A104,'Generation Capacity'!$B$27:$B$48,FALSE),MATCH(EDC_NAME,'Generation Capacity'!$E$26:$K$26,FALSE))+
        OFFSET(DRIPE!$I$35,MATCH('LI Output'!$B104,DRIPE!$B$11:$B$30,0),MATCH('LI Output'!$B$82,DRIPE!$C$10:$G$10,0),1,1)))</f>
        <v>36.83306259830416</v>
      </c>
      <c r="K104" s="17">
        <f ca="1">IFERROR(IF(VALUE(RIGHT($B$82,2))&gt;$A104,0,INDEX('T&amp;D Capacity'!$E$4:$K$23,MATCH($A104,'T&amp;D Capacity'!$B$4:$B$23,FALSE),MATCH(EDC_NAME,'T&amp;D Capacity'!$E$3:$K$3,FALSE))),0)</f>
        <v>12.769965116633969</v>
      </c>
      <c r="L104" s="17">
        <f ca="1">IFERROR(IF(VALUE(RIGHT($B$82,2))&gt;$A104,0,INDEX('T&amp;D Capacity'!$E$28:$K$47,MATCH($A104,'T&amp;D Capacity'!$B$28:$B$47,FALSE),MATCH(EDC_NAME,'T&amp;D Capacity'!$E$27:$K$27,FALSE))),0)</f>
        <v>12.769965116633969</v>
      </c>
      <c r="M104" s="17">
        <f ca="1">IFERROR(IF(VALUE(RIGHT($B$82,2))&gt;$A104,0,INDEX('T&amp;D Capacity'!$M$4:$S$23,MATCH($A104,'T&amp;D Capacity'!$B$4:$B$23,FALSE),MATCH(EDC_NAME,'T&amp;D Capacity'!$M$3:$S$3,FALSE))),0)</f>
        <v>82.873970931148946</v>
      </c>
      <c r="N104" s="17">
        <f ca="1">IFERROR(IF(VALUE(RIGHT($B$82,2))&gt;$A104,0,INDEX('T&amp;D Capacity'!$M$28:$S$47,MATCH($A104,'T&amp;D Capacity'!$B$28:$B$47,FALSE),MATCH(EDC_NAME,'T&amp;D Capacity'!$M$27:$S$27,FALSE))),0)</f>
        <v>12.017299919136418</v>
      </c>
      <c r="O104" s="18">
        <f>IFERROR(IF(VALUE(RIGHT($B$82,2))&gt;$A104,0,IFERROR(AVERAGEIF('NG Futures'!$E:$E,$B104,'NG Futures'!$I:$I),"Data Missing")),0)</f>
        <v>5.2503223688083311</v>
      </c>
      <c r="P104" s="324"/>
    </row>
    <row r="105" spans="1:16" s="50" customFormat="1" ht="15" customHeight="1" x14ac:dyDescent="0.2">
      <c r="A105" s="124">
        <f t="shared" si="7"/>
        <v>37</v>
      </c>
      <c r="B105" s="124">
        <f t="shared" si="7"/>
        <v>2046</v>
      </c>
      <c r="C105" s="122">
        <f ca="1">IFERROR(IF(VALUE(RIGHT($B$82,2))&gt;$A105,0,AVERAGEIFS(Elec_On_Peak, 'Avoided AC'!$D:$D, $B105, 'Avoided AC'!$E:$E, "Summer") +
        INDEX(AEPS!$S$8:$S$37, MATCH($A105, 'General Inputs'!$F$3:$F$32, 0)) +
        OFFSET(DRIPE!$I$10, MATCH('LI Output'!$B105, DRIPE!$I$11:$I$30, 0), MATCH('LI Output'!$B$82, DRIPE!$J$10:$N$10, 0), 1, 1) +
        INDEX(Arrearages!C$5:J$24, MATCH($A105, Arrearages!$B$5:$B$24, 0), MATCH('General Inputs'!$C$2, Arrearages!$C$4:$J$4, 0))),"Data Missing")</f>
        <v>119.74959274908434</v>
      </c>
      <c r="D105" s="17">
        <f ca="1">IFERROR(IF(VALUE(RIGHT($B$82,2))&gt;$A105,0,AVERAGEIFS(Elec_Off_Peak, 'Avoided AC'!$D:$D, $B105, 'Avoided AC'!$E:$E, "Summer") +
        INDEX(AEPS!$S$8:$S$37, MATCH($A105, 'General Inputs'!$F$3:$F$32, 0)) +
        OFFSET(DRIPE!$I$10, MATCH('LI Output'!$B105, DRIPE!$I$11:$I$30, 0), MATCH('LI Output'!$B$82, DRIPE!$J$10:$N$10, 0), 1, 1) +
        INDEX(Arrearages!C$5:J$24, MATCH($A105, Arrearages!$B$5:$B$24, 0), MATCH('General Inputs'!$C$2, Arrearages!$C$4:$J$4, 0))),"Data Missing")</f>
        <v>84.526564297707495</v>
      </c>
      <c r="E105" s="17">
        <f ca="1">IFERROR(IF(VALUE(RIGHT($B$82,2))&gt;$A105,0,AVERAGEIFS(Elec_On_Peak, 'Avoided AC'!$D:$D, $B105, 'Avoided AC'!$E:$E, "Winter") +
        INDEX(AEPS!$S$8:$S$37, MATCH($A105, 'General Inputs'!$F$3:$F$32, 0)) +
        OFFSET(DRIPE!$I$10, MATCH('LI Output'!$B105, DRIPE!$I$11:$I$30, 0), MATCH('LI Output'!$B$82, DRIPE!$J$10:$N$10, 0), 1, 1) +
        INDEX(Arrearages!C$5:J$24, MATCH($A105, Arrearages!$B$5:$B$24, 0), MATCH('General Inputs'!$C$2, Arrearages!$C$4:$J$4, 0))),"Data Missing")</f>
        <v>148.04709717748125</v>
      </c>
      <c r="F105" s="17">
        <f ca="1">IFERROR(IF(VALUE(RIGHT($B$82,2))&gt;$A105,0,AVERAGEIFS(Elec_Off_Peak, 'Avoided AC'!$D:$D, $B105, 'Avoided AC'!$E:$E, "Winter") +
        INDEX(AEPS!$S$8:$S$37, MATCH($A105, 'General Inputs'!$F$3:$F$32, 0)) +
        OFFSET(DRIPE!$I$10, MATCH('LI Output'!$B105, DRIPE!$I$11:$I$30, 0), MATCH('LI Output'!$B$82, DRIPE!$J$10:$N$10, 0), 1, 1) +
        INDEX(Arrearages!C$5:J$24, MATCH($A105, Arrearages!$B$5:$B$24, 0), MATCH('General Inputs'!$C$2, Arrearages!$C$4:$J$4, 0))),"Data Missing")</f>
        <v>124.13056713301998</v>
      </c>
      <c r="G105" s="17">
        <f ca="1">IFERROR(IF(VALUE(RIGHT($B$82,2))&gt;$A105,0,AVERAGEIFS(Elec_On_Peak, 'Avoided AC'!$D:$D, $B105, 'Avoided AC'!$E:$E, "Shoulder") +
        INDEX(AEPS!$S$8:$S$37, MATCH($A105, 'General Inputs'!$F$3:$F$32, 0)) +
        OFFSET(DRIPE!$I$10, MATCH('LI Output'!$B105, DRIPE!$I$11:$I$30, 0), MATCH('LI Output'!$B$82, DRIPE!$J$10:$N$10, 0), 1, 1) +
        INDEX(Arrearages!C$5:J$24, MATCH($A105, Arrearages!$B$5:$B$24, 0), MATCH('General Inputs'!$C$2, Arrearages!$C$4:$J$4, 0))),"Data Missing")</f>
        <v>108.31730734297922</v>
      </c>
      <c r="H105" s="17">
        <f ca="1">IFERROR(IF(VALUE(RIGHT($B$82,2))&gt;$A105,0,AVERAGEIFS(Elec_Off_Peak, 'Avoided AC'!$D:$D, $B105, 'Avoided AC'!$E:$E, "Shoulder") +
        INDEX(AEPS!$S$8:$S$37, MATCH($A105, 'General Inputs'!$F$3:$F$32, 0)) +
        OFFSET(DRIPE!$I$10, MATCH('LI Output'!$B105, DRIPE!$I$11:$I$30, 0), MATCH('LI Output'!$B$82, DRIPE!$J$10:$N$10, 0), 1, 1) +
        INDEX(Arrearages!C$5:J$24, MATCH($A105, Arrearages!$B$5:$B$24, 0), MATCH('General Inputs'!$C$2, Arrearages!$C$4:$J$4, 0))),"Data Missing")</f>
        <v>89.647444175803315</v>
      </c>
      <c r="I105" s="17">
        <f ca="1">(IF(VALUE(RIGHT($B$82,2))&gt;$A105,0,INDEX('Generation Capacity'!$E$27:$K$48,MATCH($A105,'Generation Capacity'!$B$27:$B$48,FALSE),MATCH(EDC_NAME,'Generation Capacity'!$E$26:$K$26,FALSE))+
        OFFSET(DRIPE!$B$35,MATCH('LI Output'!$B105,DRIPE!$B$11:$B$30,0),MATCH('LI Output'!$B$82,DRIPE!$C$10:$G$10,0),1,1)))</f>
        <v>37.596075464176728</v>
      </c>
      <c r="J105" s="17">
        <f ca="1">(IF(VALUE(RIGHT($B$82,2))&gt;$A105,0,INDEX('Generation Capacity'!$E$27:$K$48,MATCH($A105,'Generation Capacity'!$B$27:$B$48,FALSE),MATCH(EDC_NAME,'Generation Capacity'!$E$26:$K$26,FALSE))+
        OFFSET(DRIPE!$I$35,MATCH('LI Output'!$B105,DRIPE!$B$11:$B$30,0),MATCH('LI Output'!$B$82,DRIPE!$C$10:$G$10,0),1,1)))</f>
        <v>37.596075464176728</v>
      </c>
      <c r="K105" s="17">
        <f ca="1">IFERROR(IF(VALUE(RIGHT($B$82,2))&gt;$A105,0,INDEX('T&amp;D Capacity'!$E$4:$K$23,MATCH($A105,'T&amp;D Capacity'!$B$4:$B$23,FALSE),MATCH(EDC_NAME,'T&amp;D Capacity'!$E$3:$K$3,FALSE))),0)</f>
        <v>13.034500482237377</v>
      </c>
      <c r="L105" s="17">
        <f ca="1">IFERROR(IF(VALUE(RIGHT($B$82,2))&gt;$A105,0,INDEX('T&amp;D Capacity'!$E$28:$K$47,MATCH($A105,'T&amp;D Capacity'!$B$28:$B$47,FALSE),MATCH(EDC_NAME,'T&amp;D Capacity'!$E$27:$K$27,FALSE))),0)</f>
        <v>13.034500482237377</v>
      </c>
      <c r="M105" s="17">
        <f ca="1">IFERROR(IF(VALUE(RIGHT($B$82,2))&gt;$A105,0,INDEX('T&amp;D Capacity'!$M$4:$S$23,MATCH($A105,'T&amp;D Capacity'!$B$4:$B$23,FALSE),MATCH(EDC_NAME,'T&amp;D Capacity'!$M$3:$S$3,FALSE))),0)</f>
        <v>84.590741180640151</v>
      </c>
      <c r="N105" s="17">
        <f ca="1">IFERROR(IF(VALUE(RIGHT($B$82,2))&gt;$A105,0,INDEX('T&amp;D Capacity'!$M$28:$S$47,MATCH($A105,'T&amp;D Capacity'!$B$28:$B$47,FALSE),MATCH(EDC_NAME,'T&amp;D Capacity'!$M$27:$S$27,FALSE))),0)</f>
        <v>12.266243498749931</v>
      </c>
      <c r="O105" s="18">
        <f>IFERROR(IF(VALUE(RIGHT($B$82,2))&gt;$A105,0,IFERROR(AVERAGEIF('NG Futures'!$E:$E,$B105,'NG Futures'!$I:$I),"Data Missing")),0)</f>
        <v>5.4583218785801444</v>
      </c>
      <c r="P105" s="325"/>
    </row>
    <row r="106" spans="1:16" s="50" customFormat="1" ht="15" customHeight="1" x14ac:dyDescent="0.2"/>
    <row r="107" spans="1:16" s="50" customFormat="1" ht="15" customHeight="1" x14ac:dyDescent="0.2"/>
    <row r="108" spans="1:16" s="50" customFormat="1" ht="15" customHeight="1" x14ac:dyDescent="0.2"/>
    <row r="109" spans="1:16" s="50" customFormat="1" ht="15" customHeight="1" x14ac:dyDescent="0.2">
      <c r="A109" s="26" t="s">
        <v>115</v>
      </c>
      <c r="B109" s="27" t="s">
        <v>133</v>
      </c>
    </row>
    <row r="110" spans="1:16" s="50" customFormat="1" ht="15" customHeight="1" x14ac:dyDescent="0.2">
      <c r="A110" s="84"/>
      <c r="B110" s="84"/>
      <c r="C110" s="312"/>
      <c r="D110" s="312"/>
      <c r="E110" s="312"/>
      <c r="F110" s="312"/>
      <c r="G110" s="312"/>
      <c r="H110" s="312"/>
      <c r="I110" s="312"/>
      <c r="J110" s="312"/>
      <c r="K110" s="312"/>
      <c r="L110" s="312"/>
      <c r="M110" s="312"/>
      <c r="N110" s="312"/>
    </row>
    <row r="111" spans="1:16" s="50" customFormat="1" ht="47.45" customHeight="1" x14ac:dyDescent="0.2">
      <c r="A111" s="51"/>
      <c r="B111" s="51"/>
      <c r="C111" s="313" t="str">
        <f>EDC_NAME&amp;" Zone Summer ($/MWh)"</f>
        <v>West Penn Zone Summer ($/MWh)</v>
      </c>
      <c r="D111" s="313"/>
      <c r="E111" s="313" t="str">
        <f>EDC_NAME&amp;" Zone Winter ($/MWh)"</f>
        <v>West Penn Zone Winter ($/MWh)</v>
      </c>
      <c r="F111" s="313"/>
      <c r="G111" s="313" t="str">
        <f>EDC_NAME&amp;" DLC Zone Shoulder ($/MWh)"</f>
        <v>West Penn DLC Zone Shoulder ($/MWh)</v>
      </c>
      <c r="H111" s="313"/>
      <c r="I111" s="314" t="str">
        <f>EDC_NAME&amp;" Generation Capacity
($/kW/year)"</f>
        <v>West Penn Generation Capacity
($/kW/year)</v>
      </c>
      <c r="J111" s="315"/>
      <c r="K111" s="316" t="str">
        <f>EDC_NAME&amp;" Transmission Capacity
($/kW/year)"</f>
        <v>West Penn Transmission Capacity
($/kW/year)</v>
      </c>
      <c r="L111" s="316"/>
      <c r="M111" s="316" t="str">
        <f>EDC_NAME&amp;" Distribution Capacity
($/kW/year)"</f>
        <v>West Penn Distribution Capacity
($/kW/year)</v>
      </c>
      <c r="N111" s="316"/>
      <c r="O111" s="326" t="s">
        <v>118</v>
      </c>
      <c r="P111" s="51"/>
    </row>
    <row r="112" spans="1:16" s="50" customFormat="1" ht="50.1" customHeight="1" x14ac:dyDescent="0.2">
      <c r="A112" s="116" t="s">
        <v>119</v>
      </c>
      <c r="B112" s="116" t="s">
        <v>120</v>
      </c>
      <c r="C112" s="118" t="s">
        <v>121</v>
      </c>
      <c r="D112" s="118" t="s">
        <v>122</v>
      </c>
      <c r="E112" s="118" t="s">
        <v>123</v>
      </c>
      <c r="F112" s="118" t="s">
        <v>124</v>
      </c>
      <c r="G112" s="118" t="s">
        <v>125</v>
      </c>
      <c r="H112" s="118" t="s">
        <v>126</v>
      </c>
      <c r="I112" s="284" t="s">
        <v>107</v>
      </c>
      <c r="J112" s="284" t="s">
        <v>101</v>
      </c>
      <c r="K112" s="284" t="s">
        <v>107</v>
      </c>
      <c r="L112" s="284" t="s">
        <v>101</v>
      </c>
      <c r="M112" s="284" t="s">
        <v>107</v>
      </c>
      <c r="N112" s="284" t="s">
        <v>101</v>
      </c>
      <c r="O112" s="327"/>
    </row>
    <row r="113" spans="1:16" s="50" customFormat="1" ht="15" customHeight="1" x14ac:dyDescent="0.2">
      <c r="A113" s="123">
        <v>18</v>
      </c>
      <c r="B113" s="124">
        <f>Start_Year</f>
        <v>2027</v>
      </c>
      <c r="C113" s="119">
        <f ca="1">IFERROR(IF(VALUE(RIGHT($B$109,2))&gt;$A113,0,AVERAGEIFS(Elec_On_Peak, 'Avoided AC'!$D:$D, $B113, 'Avoided AC'!$E:$E, "Summer") +
        INDEX(AEPS!$S$8:$S$37, MATCH($A113, 'General Inputs'!$F$3:$F$32, 0)) +
        OFFSET(DRIPE!$I$10, MATCH('LI Output'!$B113, DRIPE!$I$11:$I$30, 0), MATCH('LI Output'!$B$109, DRIPE!$J$10:$N$10, 0), 1, 1) +
        INDEX(Arrearages!C$5:J$24, MATCH($A113, Arrearages!$B$5:$B$24, 0), MATCH('General Inputs'!$C$2, Arrearages!$C$4:$J$4, 0))),"Data Missing")</f>
        <v>0</v>
      </c>
      <c r="D113" s="117">
        <f ca="1">IFERROR(IF(VALUE(RIGHT($B$109,2))&gt;$A113,0,AVERAGEIFS(Elec_Off_Peak, 'Avoided AC'!$D:$D, $B113, 'Avoided AC'!$E:$E, "Summer") +
        INDEX(AEPS!$S$8:$S$37, MATCH($A113, 'General Inputs'!$F$3:$F$32, 0)) +
        OFFSET(DRIPE!$I$10, MATCH('LI Output'!$B113, DRIPE!$I$11:$I$30, 0), MATCH('LI Output'!$B$109, DRIPE!$J$10:$N$10, 0), 1, 1) +
        INDEX(Arrearages!C$5:J$24, MATCH($A113, Arrearages!$B$5:$B$24, 0), MATCH('General Inputs'!$C$2, Arrearages!$C$4:$J$4, 0))),"Data Missing")</f>
        <v>0</v>
      </c>
      <c r="E113" s="117">
        <f ca="1">IFERROR(IF(VALUE(RIGHT($B$109,2))&gt;$A113,0,AVERAGEIFS(Elec_On_Peak, 'Avoided AC'!$D:$D, $B113, 'Avoided AC'!$E:$E, "Winter") +
        INDEX(AEPS!$S$8:$S$37, MATCH($A113, 'General Inputs'!$F$3:$F$32, 0)) +
        OFFSET(DRIPE!$I$10, MATCH('LI Output'!$B113, DRIPE!$I$11:$I$30, 0), MATCH('LI Output'!$B$109, DRIPE!$J$10:$N$10, 0), 1, 1) +
        INDEX(Arrearages!C$5:J$24, MATCH($A113, Arrearages!$B$5:$B$24, 0), MATCH('General Inputs'!$C$2, Arrearages!$C$4:$J$4, 0))),"Data Missing")</f>
        <v>0</v>
      </c>
      <c r="F113" s="117">
        <f ca="1">IFERROR(IF(VALUE(RIGHT($B$109,2))&gt;$A113,0,AVERAGEIFS(Elec_Off_Peak, 'Avoided AC'!$D:$D, $B113, 'Avoided AC'!$E:$E, "Winter") +
        INDEX(AEPS!$S$8:$S$37, MATCH($A113, 'General Inputs'!$F$3:$F$32, 0)) +
        OFFSET(DRIPE!$I$10, MATCH('LI Output'!$B113, DRIPE!$I$11:$I$30, 0), MATCH('LI Output'!$B$109, DRIPE!$J$10:$N$10, 0), 1, 1) +
        INDEX(Arrearages!C$5:J$24, MATCH($A113, Arrearages!$B$5:$B$24, 0), MATCH('General Inputs'!$C$2, Arrearages!$C$4:$J$4, 0))),"Data Missing")</f>
        <v>0</v>
      </c>
      <c r="G113" s="117">
        <f ca="1">IFERROR(IF(VALUE(RIGHT($B$109,2))&gt;$A113,0,AVERAGEIFS(Elec_On_Peak, 'Avoided AC'!$D:$D, $B113, 'Avoided AC'!$E:$E, "Shoulder") +
        INDEX(AEPS!$S$8:$S$37, MATCH($A113, 'General Inputs'!$F$3:$F$32, 0)) +
        OFFSET(DRIPE!$I$10, MATCH('LI Output'!$B113, DRIPE!$I$11:$I$30, 0), MATCH('LI Output'!$B$109, DRIPE!$J$10:$N$10, 0), 1, 1) +
        INDEX(Arrearages!C$5:J$24, MATCH($A113, Arrearages!$B$5:$B$24, 0), MATCH('General Inputs'!$C$2, Arrearages!$C$4:$J$4, 0))),"Data Missing")</f>
        <v>0</v>
      </c>
      <c r="H113" s="117">
        <f ca="1">IFERROR(IF(VALUE(RIGHT($B$109,2))&gt;$A113,0,AVERAGEIFS(Elec_Off_Peak, 'Avoided AC'!$D:$D, $B113, 'Avoided AC'!$E:$E, "Shoulder") +
        INDEX(AEPS!$S$8:$S$37, MATCH($A113, 'General Inputs'!$F$3:$F$32, 0)) +
        OFFSET(DRIPE!$I$10, MATCH('LI Output'!$B113, DRIPE!$I$11:$I$30, 0), MATCH('LI Output'!$B$109, DRIPE!$J$10:$N$10, 0), 1, 1) +
        INDEX(Arrearages!C$5:J$24, MATCH($A113, Arrearages!$B$5:$B$24, 0), MATCH('General Inputs'!$C$2, Arrearages!$C$4:$J$4, 0))),"Data Missing")</f>
        <v>0</v>
      </c>
      <c r="I113" s="117">
        <f ca="1">(IF(VALUE(RIGHT($B$109,2))&gt;$A113,0,INDEX('Generation Capacity'!$E$27:$K$48,MATCH($A113,'Generation Capacity'!$B$27:$B$48,FALSE),MATCH(EDC_NAME,'Generation Capacity'!$E$26:$K$26,FALSE))+
        OFFSET(DRIPE!$B$35,MATCH('LI Output'!$B113,DRIPE!$B$11:$B$30,0),MATCH('LI Output'!$B$109,DRIPE!$C$10:$G$10,0),1,1)))</f>
        <v>0</v>
      </c>
      <c r="J113" s="117">
        <f ca="1">(IF(VALUE(RIGHT($B$109,2))&gt;$A113,0,INDEX('Generation Capacity'!$E$27:$K$48,MATCH($A113,'Generation Capacity'!$B$27:$B$48,FALSE),MATCH(EDC_NAME,'Generation Capacity'!$E$26:$K$26,FALSE))+
        OFFSET(DRIPE!$I$35,MATCH('LI Output'!$B113,DRIPE!$B$11:$B$30,0),MATCH('LI Output'!$B$109,DRIPE!$C$10:$G$10,0),1,1)))</f>
        <v>0</v>
      </c>
      <c r="K113" s="117">
        <f>IFERROR(IF(VALUE(RIGHT($B$109,2))&gt;$A113,0,INDEX('T&amp;D Capacity'!$E$4:$K$23,MATCH($A113,'T&amp;D Capacity'!$B$4:$B$23,FALSE),MATCH(EDC_NAME,'T&amp;D Capacity'!$E$3:$K$3,FALSE))),0)</f>
        <v>0</v>
      </c>
      <c r="L113" s="117">
        <f>IFERROR(IF(VALUE(RIGHT($B$109,2))&gt;$A113,0,INDEX('T&amp;D Capacity'!$E$28:$K$47,MATCH($A113,'T&amp;D Capacity'!$B$28:$B$47,FALSE),MATCH(EDC_NAME,'T&amp;D Capacity'!$E$27:$K$27,FALSE))),0)</f>
        <v>0</v>
      </c>
      <c r="M113" s="117">
        <f>IFERROR(IF(VALUE(RIGHT($B$109,2))&gt;$A113,0,INDEX('T&amp;D Capacity'!$M$4:$S$23,MATCH($A113,'T&amp;D Capacity'!$B$4:$B$23,FALSE),MATCH(EDC_NAME,'T&amp;D Capacity'!$M$3:$S$3,FALSE))),0)</f>
        <v>0</v>
      </c>
      <c r="N113" s="117">
        <f>IFERROR(IF(VALUE(RIGHT($B$109,2))&gt;$A113,0,INDEX('T&amp;D Capacity'!$M$28:$S$47,MATCH($A113,'T&amp;D Capacity'!$B$28:$B$47,FALSE),MATCH(EDC_NAME,'T&amp;D Capacity'!$M$27:$S$27,FALSE))),0)</f>
        <v>0</v>
      </c>
      <c r="O113" s="57">
        <f>IFERROR(IF(VALUE(RIGHT($B$109,2))&gt;$A113,0,IFERROR(AVERAGEIF('NG Futures'!$E:$E,$B113,'NG Futures'!$I:$I),"Data Missing")),0)</f>
        <v>0</v>
      </c>
      <c r="P113" s="317" t="s">
        <v>127</v>
      </c>
    </row>
    <row r="114" spans="1:16" s="50" customFormat="1" ht="15" customHeight="1" x14ac:dyDescent="0.2">
      <c r="A114" s="124">
        <f>A113+1</f>
        <v>19</v>
      </c>
      <c r="B114" s="124">
        <f>B113+1</f>
        <v>2028</v>
      </c>
      <c r="C114" s="120">
        <f ca="1">IFERROR(IF(VALUE(RIGHT($B$109,2))&gt;$A114,0,AVERAGEIFS(Elec_On_Peak, 'Avoided AC'!$D:$D, $B114, 'Avoided AC'!$E:$E, "Summer") +
        INDEX(AEPS!$S$8:$S$37, MATCH($A114, 'General Inputs'!$F$3:$F$32, 0)) +
        OFFSET(DRIPE!$I$10, MATCH('LI Output'!$B114, DRIPE!$I$11:$I$30, 0), MATCH('LI Output'!$B$109, DRIPE!$J$10:$N$10, 0), 1, 1) +
        INDEX(Arrearages!C$5:J$24, MATCH($A114, Arrearages!$B$5:$B$24, 0), MATCH('General Inputs'!$C$2, Arrearages!$C$4:$J$4, 0))),"Data Missing")</f>
        <v>0</v>
      </c>
      <c r="D114" s="14">
        <f ca="1">IFERROR(IF(VALUE(RIGHT($B$109,2))&gt;$A114,0,AVERAGEIFS(Elec_Off_Peak, 'Avoided AC'!$D:$D, $B114, 'Avoided AC'!$E:$E, "Summer") +
        INDEX(AEPS!$S$8:$S$37, MATCH($A114, 'General Inputs'!$F$3:$F$32, 0)) +
        OFFSET(DRIPE!$I$10, MATCH('LI Output'!$B114, DRIPE!$I$11:$I$30, 0), MATCH('LI Output'!$B$109, DRIPE!$J$10:$N$10, 0), 1, 1) +
        INDEX(Arrearages!C$5:J$24, MATCH($A114, Arrearages!$B$5:$B$24, 0), MATCH('General Inputs'!$C$2, Arrearages!$C$4:$J$4, 0))),"Data Missing")</f>
        <v>0</v>
      </c>
      <c r="E114" s="14">
        <f ca="1">IFERROR(IF(VALUE(RIGHT($B$109,2))&gt;$A114,0,AVERAGEIFS(Elec_On_Peak, 'Avoided AC'!$D:$D, $B114, 'Avoided AC'!$E:$E, "Winter") +
        INDEX(AEPS!$S$8:$S$37, MATCH($A114, 'General Inputs'!$F$3:$F$32, 0)) +
        OFFSET(DRIPE!$I$10, MATCH('LI Output'!$B114, DRIPE!$I$11:$I$30, 0), MATCH('LI Output'!$B$109, DRIPE!$J$10:$N$10, 0), 1, 1) +
        INDEX(Arrearages!C$5:J$24, MATCH($A114, Arrearages!$B$5:$B$24, 0), MATCH('General Inputs'!$C$2, Arrearages!$C$4:$J$4, 0))),"Data Missing")</f>
        <v>0</v>
      </c>
      <c r="F114" s="14">
        <f ca="1">IFERROR(IF(VALUE(RIGHT($B$109,2))&gt;$A114,0,AVERAGEIFS(Elec_Off_Peak, 'Avoided AC'!$D:$D, $B114, 'Avoided AC'!$E:$E, "Winter") +
        INDEX(AEPS!$S$8:$S$37, MATCH($A114, 'General Inputs'!$F$3:$F$32, 0)) +
        OFFSET(DRIPE!$I$10, MATCH('LI Output'!$B114, DRIPE!$I$11:$I$30, 0), MATCH('LI Output'!$B$109, DRIPE!$J$10:$N$10, 0), 1, 1) +
        INDEX(Arrearages!C$5:J$24, MATCH($A114, Arrearages!$B$5:$B$24, 0), MATCH('General Inputs'!$C$2, Arrearages!$C$4:$J$4, 0))),"Data Missing")</f>
        <v>0</v>
      </c>
      <c r="G114" s="14">
        <f ca="1">IFERROR(IF(VALUE(RIGHT($B$109,2))&gt;$A114,0,AVERAGEIFS(Elec_On_Peak, 'Avoided AC'!$D:$D, $B114, 'Avoided AC'!$E:$E, "Shoulder") +
        INDEX(AEPS!$S$8:$S$37, MATCH($A114, 'General Inputs'!$F$3:$F$32, 0)) +
        OFFSET(DRIPE!$I$10, MATCH('LI Output'!$B114, DRIPE!$I$11:$I$30, 0), MATCH('LI Output'!$B$109, DRIPE!$J$10:$N$10, 0), 1, 1) +
        INDEX(Arrearages!C$5:J$24, MATCH($A114, Arrearages!$B$5:$B$24, 0), MATCH('General Inputs'!$C$2, Arrearages!$C$4:$J$4, 0))),"Data Missing")</f>
        <v>0</v>
      </c>
      <c r="H114" s="14">
        <f ca="1">IFERROR(IF(VALUE(RIGHT($B$109,2))&gt;$A114,0,AVERAGEIFS(Elec_Off_Peak, 'Avoided AC'!$D:$D, $B114, 'Avoided AC'!$E:$E, "Shoulder") +
        INDEX(AEPS!$S$8:$S$37, MATCH($A114, 'General Inputs'!$F$3:$F$32, 0)) +
        OFFSET(DRIPE!$I$10, MATCH('LI Output'!$B114, DRIPE!$I$11:$I$30, 0), MATCH('LI Output'!$B$109, DRIPE!$J$10:$N$10, 0), 1, 1) +
        INDEX(Arrearages!C$5:J$24, MATCH($A114, Arrearages!$B$5:$B$24, 0), MATCH('General Inputs'!$C$2, Arrearages!$C$4:$J$4, 0))),"Data Missing")</f>
        <v>0</v>
      </c>
      <c r="I114" s="14">
        <f ca="1">(IF(VALUE(RIGHT($B$109,2))&gt;$A114,0,INDEX('Generation Capacity'!$E$27:$K$48,MATCH($A114,'Generation Capacity'!$B$27:$B$48,FALSE),MATCH(EDC_NAME,'Generation Capacity'!$E$26:$K$26,FALSE))+
        OFFSET(DRIPE!$B$35,MATCH('LI Output'!$B114,DRIPE!$B$11:$B$30,0),MATCH('LI Output'!$B$109,DRIPE!$C$10:$G$10,0),1,1)))</f>
        <v>0</v>
      </c>
      <c r="J114" s="14">
        <f ca="1">(IF(VALUE(RIGHT($B$109,2))&gt;$A114,0,INDEX('Generation Capacity'!$E$27:$K$48,MATCH($A114,'Generation Capacity'!$B$27:$B$48,FALSE),MATCH(EDC_NAME,'Generation Capacity'!$E$26:$K$26,FALSE))+
        OFFSET(DRIPE!$I$35,MATCH('LI Output'!$B114,DRIPE!$B$11:$B$30,0),MATCH('LI Output'!$B$109,DRIPE!$C$10:$G$10,0),1,1)))</f>
        <v>0</v>
      </c>
      <c r="K114" s="14">
        <f>IFERROR(IF(VALUE(RIGHT($B$109,2))&gt;$A114,0,INDEX('T&amp;D Capacity'!$E$4:$K$23,MATCH($A114,'T&amp;D Capacity'!$B$4:$B$23,FALSE),MATCH(EDC_NAME,'T&amp;D Capacity'!$E$3:$K$3,FALSE))),0)</f>
        <v>0</v>
      </c>
      <c r="L114" s="14">
        <f>IFERROR(IF(VALUE(RIGHT($B$109,2))&gt;$A114,0,INDEX('T&amp;D Capacity'!$E$28:$K$47,MATCH($A114,'T&amp;D Capacity'!$B$28:$B$47,FALSE),MATCH(EDC_NAME,'T&amp;D Capacity'!$E$27:$K$27,FALSE))),0)</f>
        <v>0</v>
      </c>
      <c r="M114" s="14">
        <f>IFERROR(IF(VALUE(RIGHT($B$109,2))&gt;$A114,0,INDEX('T&amp;D Capacity'!$M$4:$S$23,MATCH($A114,'T&amp;D Capacity'!$B$4:$B$23,FALSE),MATCH(EDC_NAME,'T&amp;D Capacity'!$M$3:$S$3,FALSE))),0)</f>
        <v>0</v>
      </c>
      <c r="N114" s="14">
        <f>IFERROR(IF(VALUE(RIGHT($B$109,2))&gt;$A114,0,INDEX('T&amp;D Capacity'!$M$28:$S$47,MATCH($A114,'T&amp;D Capacity'!$B$28:$B$47,FALSE),MATCH(EDC_NAME,'T&amp;D Capacity'!$M$27:$S$27,FALSE))),0)</f>
        <v>0</v>
      </c>
      <c r="O114" s="57">
        <f>IFERROR(IF(VALUE(RIGHT($B$109,2))&gt;$A114,0,IFERROR(AVERAGEIF('NG Futures'!$E:$E,$B114,'NG Futures'!$I:$I),"Data Missing")),0)</f>
        <v>0</v>
      </c>
      <c r="P114" s="318"/>
    </row>
    <row r="115" spans="1:16" s="50" customFormat="1" ht="15" customHeight="1" x14ac:dyDescent="0.2">
      <c r="A115" s="124">
        <f t="shared" ref="A115:B130" si="8">A114+1</f>
        <v>20</v>
      </c>
      <c r="B115" s="124">
        <f t="shared" si="8"/>
        <v>2029</v>
      </c>
      <c r="C115" s="120">
        <f ca="1">IFERROR(IF(VALUE(RIGHT($B$109,2))&gt;$A115,0,AVERAGEIFS(Elec_On_Peak, 'Avoided AC'!$D:$D, $B115, 'Avoided AC'!$E:$E, "Summer") +
        INDEX(AEPS!$S$8:$S$37, MATCH($A115, 'General Inputs'!$F$3:$F$32, 0)) +
        OFFSET(DRIPE!$I$10, MATCH('LI Output'!$B115, DRIPE!$I$11:$I$30, 0), MATCH('LI Output'!$B$109, DRIPE!$J$10:$N$10, 0), 1, 1) +
        INDEX(Arrearages!C$5:J$24, MATCH($A115, Arrearages!$B$5:$B$24, 0), MATCH('General Inputs'!$C$2, Arrearages!$C$4:$J$4, 0))),"Data Missing")</f>
        <v>0</v>
      </c>
      <c r="D115" s="14">
        <f ca="1">IFERROR(IF(VALUE(RIGHT($B$109,2))&gt;$A115,0,AVERAGEIFS(Elec_Off_Peak, 'Avoided AC'!$D:$D, $B115, 'Avoided AC'!$E:$E, "Summer") +
        INDEX(AEPS!$S$8:$S$37, MATCH($A115, 'General Inputs'!$F$3:$F$32, 0)) +
        OFFSET(DRIPE!$I$10, MATCH('LI Output'!$B115, DRIPE!$I$11:$I$30, 0), MATCH('LI Output'!$B$109, DRIPE!$J$10:$N$10, 0), 1, 1) +
        INDEX(Arrearages!C$5:J$24, MATCH($A115, Arrearages!$B$5:$B$24, 0), MATCH('General Inputs'!$C$2, Arrearages!$C$4:$J$4, 0))),"Data Missing")</f>
        <v>0</v>
      </c>
      <c r="E115" s="14">
        <f ca="1">IFERROR(IF(VALUE(RIGHT($B$109,2))&gt;$A115,0,AVERAGEIFS(Elec_On_Peak, 'Avoided AC'!$D:$D, $B115, 'Avoided AC'!$E:$E, "Winter") +
        INDEX(AEPS!$S$8:$S$37, MATCH($A115, 'General Inputs'!$F$3:$F$32, 0)) +
        OFFSET(DRIPE!$I$10, MATCH('LI Output'!$B115, DRIPE!$I$11:$I$30, 0), MATCH('LI Output'!$B$109, DRIPE!$J$10:$N$10, 0), 1, 1) +
        INDEX(Arrearages!C$5:J$24, MATCH($A115, Arrearages!$B$5:$B$24, 0), MATCH('General Inputs'!$C$2, Arrearages!$C$4:$J$4, 0))),"Data Missing")</f>
        <v>0</v>
      </c>
      <c r="F115" s="14">
        <f ca="1">IFERROR(IF(VALUE(RIGHT($B$109,2))&gt;$A115,0,AVERAGEIFS(Elec_Off_Peak, 'Avoided AC'!$D:$D, $B115, 'Avoided AC'!$E:$E, "Winter") +
        INDEX(AEPS!$S$8:$S$37, MATCH($A115, 'General Inputs'!$F$3:$F$32, 0)) +
        OFFSET(DRIPE!$I$10, MATCH('LI Output'!$B115, DRIPE!$I$11:$I$30, 0), MATCH('LI Output'!$B$109, DRIPE!$J$10:$N$10, 0), 1, 1) +
        INDEX(Arrearages!C$5:J$24, MATCH($A115, Arrearages!$B$5:$B$24, 0), MATCH('General Inputs'!$C$2, Arrearages!$C$4:$J$4, 0))),"Data Missing")</f>
        <v>0</v>
      </c>
      <c r="G115" s="14">
        <f ca="1">IFERROR(IF(VALUE(RIGHT($B$109,2))&gt;$A115,0,AVERAGEIFS(Elec_On_Peak, 'Avoided AC'!$D:$D, $B115, 'Avoided AC'!$E:$E, "Shoulder") +
        INDEX(AEPS!$S$8:$S$37, MATCH($A115, 'General Inputs'!$F$3:$F$32, 0)) +
        OFFSET(DRIPE!$I$10, MATCH('LI Output'!$B115, DRIPE!$I$11:$I$30, 0), MATCH('LI Output'!$B$109, DRIPE!$J$10:$N$10, 0), 1, 1) +
        INDEX(Arrearages!C$5:J$24, MATCH($A115, Arrearages!$B$5:$B$24, 0), MATCH('General Inputs'!$C$2, Arrearages!$C$4:$J$4, 0))),"Data Missing")</f>
        <v>0</v>
      </c>
      <c r="H115" s="14">
        <f ca="1">IFERROR(IF(VALUE(RIGHT($B$109,2))&gt;$A115,0,AVERAGEIFS(Elec_Off_Peak, 'Avoided AC'!$D:$D, $B115, 'Avoided AC'!$E:$E, "Shoulder") +
        INDEX(AEPS!$S$8:$S$37, MATCH($A115, 'General Inputs'!$F$3:$F$32, 0)) +
        OFFSET(DRIPE!$I$10, MATCH('LI Output'!$B115, DRIPE!$I$11:$I$30, 0), MATCH('LI Output'!$B$109, DRIPE!$J$10:$N$10, 0), 1, 1) +
        INDEX(Arrearages!C$5:J$24, MATCH($A115, Arrearages!$B$5:$B$24, 0), MATCH('General Inputs'!$C$2, Arrearages!$C$4:$J$4, 0))),"Data Missing")</f>
        <v>0</v>
      </c>
      <c r="I115" s="14">
        <f ca="1">(IF(VALUE(RIGHT($B$109,2))&gt;$A115,0,INDEX('Generation Capacity'!$E$27:$K$48,MATCH($A115,'Generation Capacity'!$B$27:$B$48,FALSE),MATCH(EDC_NAME,'Generation Capacity'!$E$26:$K$26,FALSE))+
        OFFSET(DRIPE!$B$35,MATCH('LI Output'!$B115,DRIPE!$B$11:$B$30,0),MATCH('LI Output'!$B$109,DRIPE!$C$10:$G$10,0),1,1)))</f>
        <v>0</v>
      </c>
      <c r="J115" s="14">
        <f ca="1">(IF(VALUE(RIGHT($B$109,2))&gt;$A115,0,INDEX('Generation Capacity'!$E$27:$K$48,MATCH($A115,'Generation Capacity'!$B$27:$B$48,FALSE),MATCH(EDC_NAME,'Generation Capacity'!$E$26:$K$26,FALSE))+
        OFFSET(DRIPE!$I$35,MATCH('LI Output'!$B115,DRIPE!$B$11:$B$30,0),MATCH('LI Output'!$B$109,DRIPE!$C$10:$G$10,0),1,1)))</f>
        <v>0</v>
      </c>
      <c r="K115" s="14">
        <f>IFERROR(IF(VALUE(RIGHT($B$109,2))&gt;$A115,0,INDEX('T&amp;D Capacity'!$E$4:$K$23,MATCH($A115,'T&amp;D Capacity'!$B$4:$B$23,FALSE),MATCH(EDC_NAME,'T&amp;D Capacity'!$E$3:$K$3,FALSE))),0)</f>
        <v>0</v>
      </c>
      <c r="L115" s="14">
        <f>IFERROR(IF(VALUE(RIGHT($B$109,2))&gt;$A115,0,INDEX('T&amp;D Capacity'!$E$28:$K$47,MATCH($A115,'T&amp;D Capacity'!$B$28:$B$47,FALSE),MATCH(EDC_NAME,'T&amp;D Capacity'!$E$27:$K$27,FALSE))),0)</f>
        <v>0</v>
      </c>
      <c r="M115" s="14">
        <f>IFERROR(IF(VALUE(RIGHT($B$109,2))&gt;$A115,0,INDEX('T&amp;D Capacity'!$M$4:$S$23,MATCH($A115,'T&amp;D Capacity'!$B$4:$B$23,FALSE),MATCH(EDC_NAME,'T&amp;D Capacity'!$M$3:$S$3,FALSE))),0)</f>
        <v>0</v>
      </c>
      <c r="N115" s="14">
        <f>IFERROR(IF(VALUE(RIGHT($B$109,2))&gt;$A115,0,INDEX('T&amp;D Capacity'!$M$28:$S$47,MATCH($A115,'T&amp;D Capacity'!$B$28:$B$47,FALSE),MATCH(EDC_NAME,'T&amp;D Capacity'!$M$27:$S$27,FALSE))),0)</f>
        <v>0</v>
      </c>
      <c r="O115" s="57">
        <f>IFERROR(IF(VALUE(RIGHT($B$109,2))&gt;$A115,0,IFERROR(AVERAGEIF('NG Futures'!$E:$E,$B115,'NG Futures'!$I:$I),"Data Missing")),0)</f>
        <v>0</v>
      </c>
      <c r="P115" s="318"/>
    </row>
    <row r="116" spans="1:16" s="50" customFormat="1" ht="15" customHeight="1" x14ac:dyDescent="0.2">
      <c r="A116" s="124">
        <f t="shared" si="8"/>
        <v>21</v>
      </c>
      <c r="B116" s="124">
        <f t="shared" si="8"/>
        <v>2030</v>
      </c>
      <c r="C116" s="120">
        <f ca="1">IFERROR(IF(VALUE(RIGHT($B$109,2))&gt;$A116,0,AVERAGEIFS(Elec_On_Peak, 'Avoided AC'!$D:$D, $B116, 'Avoided AC'!$E:$E, "Summer") +
        INDEX(AEPS!$S$8:$S$37, MATCH($A116, 'General Inputs'!$F$3:$F$32, 0)) +
        OFFSET(DRIPE!$I$10, MATCH('LI Output'!$B116, DRIPE!$I$11:$I$30, 0), MATCH('LI Output'!$B$109, DRIPE!$J$10:$N$10, 0), 1, 1) +
        INDEX(Arrearages!C$5:J$24, MATCH($A116, Arrearages!$B$5:$B$24, 0), MATCH('General Inputs'!$C$2, Arrearages!$C$4:$J$4, 0))),"Data Missing")</f>
        <v>0</v>
      </c>
      <c r="D116" s="14">
        <f ca="1">IFERROR(IF(VALUE(RIGHT($B$109,2))&gt;$A116,0,AVERAGEIFS(Elec_Off_Peak, 'Avoided AC'!$D:$D, $B116, 'Avoided AC'!$E:$E, "Summer") +
        INDEX(AEPS!$S$8:$S$37, MATCH($A116, 'General Inputs'!$F$3:$F$32, 0)) +
        OFFSET(DRIPE!$I$10, MATCH('LI Output'!$B116, DRIPE!$I$11:$I$30, 0), MATCH('LI Output'!$B$109, DRIPE!$J$10:$N$10, 0), 1, 1) +
        INDEX(Arrearages!C$5:J$24, MATCH($A116, Arrearages!$B$5:$B$24, 0), MATCH('General Inputs'!$C$2, Arrearages!$C$4:$J$4, 0))),"Data Missing")</f>
        <v>0</v>
      </c>
      <c r="E116" s="14">
        <f ca="1">IFERROR(IF(VALUE(RIGHT($B$109,2))&gt;$A116,0,AVERAGEIFS(Elec_On_Peak, 'Avoided AC'!$D:$D, $B116, 'Avoided AC'!$E:$E, "Winter") +
        INDEX(AEPS!$S$8:$S$37, MATCH($A116, 'General Inputs'!$F$3:$F$32, 0)) +
        OFFSET(DRIPE!$I$10, MATCH('LI Output'!$B116, DRIPE!$I$11:$I$30, 0), MATCH('LI Output'!$B$109, DRIPE!$J$10:$N$10, 0), 1, 1) +
        INDEX(Arrearages!C$5:J$24, MATCH($A116, Arrearages!$B$5:$B$24, 0), MATCH('General Inputs'!$C$2, Arrearages!$C$4:$J$4, 0))),"Data Missing")</f>
        <v>0</v>
      </c>
      <c r="F116" s="14">
        <f ca="1">IFERROR(IF(VALUE(RIGHT($B$109,2))&gt;$A116,0,AVERAGEIFS(Elec_Off_Peak, 'Avoided AC'!$D:$D, $B116, 'Avoided AC'!$E:$E, "Winter") +
        INDEX(AEPS!$S$8:$S$37, MATCH($A116, 'General Inputs'!$F$3:$F$32, 0)) +
        OFFSET(DRIPE!$I$10, MATCH('LI Output'!$B116, DRIPE!$I$11:$I$30, 0), MATCH('LI Output'!$B$109, DRIPE!$J$10:$N$10, 0), 1, 1) +
        INDEX(Arrearages!C$5:J$24, MATCH($A116, Arrearages!$B$5:$B$24, 0), MATCH('General Inputs'!$C$2, Arrearages!$C$4:$J$4, 0))),"Data Missing")</f>
        <v>0</v>
      </c>
      <c r="G116" s="14">
        <f ca="1">IFERROR(IF(VALUE(RIGHT($B$109,2))&gt;$A116,0,AVERAGEIFS(Elec_On_Peak, 'Avoided AC'!$D:$D, $B116, 'Avoided AC'!$E:$E, "Shoulder") +
        INDEX(AEPS!$S$8:$S$37, MATCH($A116, 'General Inputs'!$F$3:$F$32, 0)) +
        OFFSET(DRIPE!$I$10, MATCH('LI Output'!$B116, DRIPE!$I$11:$I$30, 0), MATCH('LI Output'!$B$109, DRIPE!$J$10:$N$10, 0), 1, 1) +
        INDEX(Arrearages!C$5:J$24, MATCH($A116, Arrearages!$B$5:$B$24, 0), MATCH('General Inputs'!$C$2, Arrearages!$C$4:$J$4, 0))),"Data Missing")</f>
        <v>0</v>
      </c>
      <c r="H116" s="14">
        <f ca="1">IFERROR(IF(VALUE(RIGHT($B$109,2))&gt;$A116,0,AVERAGEIFS(Elec_Off_Peak, 'Avoided AC'!$D:$D, $B116, 'Avoided AC'!$E:$E, "Shoulder") +
        INDEX(AEPS!$S$8:$S$37, MATCH($A116, 'General Inputs'!$F$3:$F$32, 0)) +
        OFFSET(DRIPE!$I$10, MATCH('LI Output'!$B116, DRIPE!$I$11:$I$30, 0), MATCH('LI Output'!$B$109, DRIPE!$J$10:$N$10, 0), 1, 1) +
        INDEX(Arrearages!C$5:J$24, MATCH($A116, Arrearages!$B$5:$B$24, 0), MATCH('General Inputs'!$C$2, Arrearages!$C$4:$J$4, 0))),"Data Missing")</f>
        <v>0</v>
      </c>
      <c r="I116" s="14">
        <f ca="1">(IF(VALUE(RIGHT($B$109,2))&gt;$A116,0,INDEX('Generation Capacity'!$E$27:$K$48,MATCH($A116,'Generation Capacity'!$B$27:$B$48,FALSE),MATCH(EDC_NAME,'Generation Capacity'!$E$26:$K$26,FALSE))+
        OFFSET(DRIPE!$B$35,MATCH('LI Output'!$B116,DRIPE!$B$11:$B$30,0),MATCH('LI Output'!$B$109,DRIPE!$C$10:$G$10,0),1,1)))</f>
        <v>0</v>
      </c>
      <c r="J116" s="14">
        <f ca="1">(IF(VALUE(RIGHT($B$109,2))&gt;$A116,0,INDEX('Generation Capacity'!$E$27:$K$48,MATCH($A116,'Generation Capacity'!$B$27:$B$48,FALSE),MATCH(EDC_NAME,'Generation Capacity'!$E$26:$K$26,FALSE))+
        OFFSET(DRIPE!$I$35,MATCH('LI Output'!$B116,DRIPE!$B$11:$B$30,0),MATCH('LI Output'!$B$109,DRIPE!$C$10:$G$10,0),1,1)))</f>
        <v>0</v>
      </c>
      <c r="K116" s="14">
        <f>IFERROR(IF(VALUE(RIGHT($B$109,2))&gt;$A116,0,INDEX('T&amp;D Capacity'!$E$4:$K$23,MATCH($A116,'T&amp;D Capacity'!$B$4:$B$23,FALSE),MATCH(EDC_NAME,'T&amp;D Capacity'!$E$3:$K$3,FALSE))),0)</f>
        <v>0</v>
      </c>
      <c r="L116" s="14">
        <f>IFERROR(IF(VALUE(RIGHT($B$109,2))&gt;$A116,0,INDEX('T&amp;D Capacity'!$E$28:$K$47,MATCH($A116,'T&amp;D Capacity'!$B$28:$B$47,FALSE),MATCH(EDC_NAME,'T&amp;D Capacity'!$E$27:$K$27,FALSE))),0)</f>
        <v>0</v>
      </c>
      <c r="M116" s="14">
        <f>IFERROR(IF(VALUE(RIGHT($B$109,2))&gt;$A116,0,INDEX('T&amp;D Capacity'!$M$4:$S$23,MATCH($A116,'T&amp;D Capacity'!$B$4:$B$23,FALSE),MATCH(EDC_NAME,'T&amp;D Capacity'!$M$3:$S$3,FALSE))),0)</f>
        <v>0</v>
      </c>
      <c r="N116" s="14">
        <f>IFERROR(IF(VALUE(RIGHT($B$109,2))&gt;$A116,0,INDEX('T&amp;D Capacity'!$M$28:$S$47,MATCH($A116,'T&amp;D Capacity'!$B$28:$B$47,FALSE),MATCH(EDC_NAME,'T&amp;D Capacity'!$M$27:$S$27,FALSE))),0)</f>
        <v>0</v>
      </c>
      <c r="O116" s="57">
        <f>IFERROR(IF(VALUE(RIGHT($B$109,2))&gt;$A116,0,IFERROR(AVERAGEIF('NG Futures'!$E:$E,$B116,'NG Futures'!$I:$I),"Data Missing")),0)</f>
        <v>0</v>
      </c>
      <c r="P116" s="319"/>
    </row>
    <row r="117" spans="1:16" s="50" customFormat="1" ht="15" customHeight="1" x14ac:dyDescent="0.2">
      <c r="A117" s="124">
        <f t="shared" si="8"/>
        <v>22</v>
      </c>
      <c r="B117" s="124">
        <f t="shared" si="8"/>
        <v>2031</v>
      </c>
      <c r="C117" s="121">
        <f ca="1">IFERROR(IF(VALUE(RIGHT($B$109,2))&gt;$A117,0,AVERAGEIFS(Elec_On_Peak, 'Avoided AC'!$D:$D, $B117, 'Avoided AC'!$E:$E, "Summer") +
        INDEX(AEPS!$S$8:$S$37, MATCH($A117, 'General Inputs'!$F$3:$F$32, 0)) +
        OFFSET(DRIPE!$I$10, MATCH('LI Output'!$B117, DRIPE!$I$11:$I$30, 0), MATCH('LI Output'!$B$109, DRIPE!$J$10:$N$10, 0), 1, 1) +
        INDEX(Arrearages!C$5:J$24, MATCH($A117, Arrearages!$B$5:$B$24, 0), MATCH('General Inputs'!$C$2, Arrearages!$C$4:$J$4, 0))),"Data Missing")</f>
        <v>110.21580714052344</v>
      </c>
      <c r="D117" s="15">
        <f ca="1">IFERROR(IF(VALUE(RIGHT($B$109,2))&gt;$A117,0,AVERAGEIFS(Elec_Off_Peak, 'Avoided AC'!$D:$D, $B117, 'Avoided AC'!$E:$E, "Summer") +
        INDEX(AEPS!$S$8:$S$37, MATCH($A117, 'General Inputs'!$F$3:$F$32, 0)) +
        OFFSET(DRIPE!$I$10, MATCH('LI Output'!$B117, DRIPE!$I$11:$I$30, 0), MATCH('LI Output'!$B$109, DRIPE!$J$10:$N$10, 0), 1, 1) +
        INDEX(Arrearages!C$5:J$24, MATCH($A117, Arrearages!$B$5:$B$24, 0), MATCH('General Inputs'!$C$2, Arrearages!$C$4:$J$4, 0))),"Data Missing")</f>
        <v>80.269874538793403</v>
      </c>
      <c r="E117" s="15">
        <f ca="1">IFERROR(IF(VALUE(RIGHT($B$109,2))&gt;$A117,0,AVERAGEIFS(Elec_On_Peak, 'Avoided AC'!$D:$D, $B117, 'Avoided AC'!$E:$E, "Winter") +
        INDEX(AEPS!$S$8:$S$37, MATCH($A117, 'General Inputs'!$F$3:$F$32, 0)) +
        OFFSET(DRIPE!$I$10, MATCH('LI Output'!$B117, DRIPE!$I$11:$I$30, 0), MATCH('LI Output'!$B$109, DRIPE!$J$10:$N$10, 0), 1, 1) +
        INDEX(Arrearages!C$5:J$24, MATCH($A117, Arrearages!$B$5:$B$24, 0), MATCH('General Inputs'!$C$2, Arrearages!$C$4:$J$4, 0))),"Data Missing")</f>
        <v>117.53124696382274</v>
      </c>
      <c r="F117" s="15">
        <f ca="1">IFERROR(IF(VALUE(RIGHT($B$109,2))&gt;$A117,0,AVERAGEIFS(Elec_Off_Peak, 'Avoided AC'!$D:$D, $B117, 'Avoided AC'!$E:$E, "Winter") +
        INDEX(AEPS!$S$8:$S$37, MATCH($A117, 'General Inputs'!$F$3:$F$32, 0)) +
        OFFSET(DRIPE!$I$10, MATCH('LI Output'!$B117, DRIPE!$I$11:$I$30, 0), MATCH('LI Output'!$B$109, DRIPE!$J$10:$N$10, 0), 1, 1) +
        INDEX(Arrearages!C$5:J$24, MATCH($A117, Arrearages!$B$5:$B$24, 0), MATCH('General Inputs'!$C$2, Arrearages!$C$4:$J$4, 0))),"Data Missing")</f>
        <v>105.42421620091264</v>
      </c>
      <c r="G117" s="15">
        <f ca="1">IFERROR(IF(VALUE(RIGHT($B$109,2))&gt;$A117,0,AVERAGEIFS(Elec_On_Peak, 'Avoided AC'!$D:$D, $B117, 'Avoided AC'!$E:$E, "Shoulder") +
        INDEX(AEPS!$S$8:$S$37, MATCH($A117, 'General Inputs'!$F$3:$F$32, 0)) +
        OFFSET(DRIPE!$I$10, MATCH('LI Output'!$B117, DRIPE!$I$11:$I$30, 0), MATCH('LI Output'!$B$109, DRIPE!$J$10:$N$10, 0), 1, 1) +
        INDEX(Arrearages!C$5:J$24, MATCH($A117, Arrearages!$B$5:$B$24, 0), MATCH('General Inputs'!$C$2, Arrearages!$C$4:$J$4, 0))),"Data Missing")</f>
        <v>96.199622291495942</v>
      </c>
      <c r="H117" s="15">
        <f ca="1">IFERROR(IF(VALUE(RIGHT($B$109,2))&gt;$A117,0,AVERAGEIFS(Elec_Off_Peak, 'Avoided AC'!$D:$D, $B117, 'Avoided AC'!$E:$E, "Shoulder") +
        INDEX(AEPS!$S$8:$S$37, MATCH($A117, 'General Inputs'!$F$3:$F$32, 0)) +
        OFFSET(DRIPE!$I$10, MATCH('LI Output'!$B117, DRIPE!$I$11:$I$30, 0), MATCH('LI Output'!$B$109, DRIPE!$J$10:$N$10, 0), 1, 1) +
        INDEX(Arrearages!C$5:J$24, MATCH($A117, Arrearages!$B$5:$B$24, 0), MATCH('General Inputs'!$C$2, Arrearages!$C$4:$J$4, 0))),"Data Missing")</f>
        <v>83.611307438789623</v>
      </c>
      <c r="I117" s="15">
        <f ca="1">(IF(VALUE(RIGHT($B$109,2))&gt;$A117,0,INDEX('Generation Capacity'!$E$27:$K$48,MATCH($A117,'Generation Capacity'!$B$27:$B$48,FALSE),MATCH(EDC_NAME,'Generation Capacity'!$E$26:$K$26,FALSE))+
        OFFSET(DRIPE!$B$35,MATCH('LI Output'!$B117,DRIPE!$B$11:$B$30,0),MATCH('LI Output'!$B$109,DRIPE!$C$10:$G$10,0),1,1)))</f>
        <v>41.192179915077226</v>
      </c>
      <c r="J117" s="15">
        <f ca="1">(IF(VALUE(RIGHT($B$109,2))&gt;$A117,0,INDEX('Generation Capacity'!$E$27:$K$48,MATCH($A117,'Generation Capacity'!$B$27:$B$48,FALSE),MATCH(EDC_NAME,'Generation Capacity'!$E$26:$K$26,FALSE))+
        OFFSET(DRIPE!$I$35,MATCH('LI Output'!$B117,DRIPE!$B$11:$B$30,0),MATCH('LI Output'!$B$109,DRIPE!$C$10:$G$10,0),1,1)))</f>
        <v>41.192179915077226</v>
      </c>
      <c r="K117" s="15">
        <f ca="1">IFERROR(IF(VALUE(RIGHT($B$109,2))&gt;$A117,0,INDEX('T&amp;D Capacity'!$E$4:$K$23,MATCH($A117,'T&amp;D Capacity'!$B$4:$B$23,FALSE),MATCH(EDC_NAME,'T&amp;D Capacity'!$E$3:$K$3,FALSE))),0)</f>
        <v>9.5835004846843326</v>
      </c>
      <c r="L117" s="15">
        <f ca="1">IFERROR(IF(VALUE(RIGHT($B$109,2))&gt;$A117,0,INDEX('T&amp;D Capacity'!$E$28:$K$47,MATCH($A117,'T&amp;D Capacity'!$B$28:$B$47,FALSE),MATCH(EDC_NAME,'T&amp;D Capacity'!$E$27:$K$27,FALSE))),0)</f>
        <v>9.5835004846843326</v>
      </c>
      <c r="M117" s="15">
        <f>IFERROR(IF(VALUE(RIGHT($B$109,2))&gt;$A117,0,INDEX('T&amp;D Capacity'!$M$4:$S$23,MATCH($A117,'T&amp;D Capacity'!$B$4:$B$23,FALSE),MATCH(EDC_NAME,'T&amp;D Capacity'!$M$3:$S$3,FALSE))),0)</f>
        <v>62.194589674472809</v>
      </c>
      <c r="N117" s="15">
        <f>IFERROR(IF(VALUE(RIGHT($B$109,2))&gt;$A117,0,INDEX('T&amp;D Capacity'!$M$28:$S$47,MATCH($A117,'T&amp;D Capacity'!$B$28:$B$47,FALSE),MATCH(EDC_NAME,'T&amp;D Capacity'!$M$27:$S$27,FALSE))),0)</f>
        <v>9.0186463743448257</v>
      </c>
      <c r="O117" s="16">
        <f>IFERROR(IF(VALUE(RIGHT($B$109,2))&gt;$A117,0,IFERROR(AVERAGEIF('NG Futures'!$E:$E,$B117,'NG Futures'!$I:$I),"Data Missing")),0)</f>
        <v>3.3679469428694606</v>
      </c>
      <c r="P117" s="320" t="s">
        <v>128</v>
      </c>
    </row>
    <row r="118" spans="1:16" s="50" customFormat="1" ht="15" customHeight="1" x14ac:dyDescent="0.2">
      <c r="A118" s="124">
        <f t="shared" si="8"/>
        <v>23</v>
      </c>
      <c r="B118" s="124">
        <f t="shared" si="8"/>
        <v>2032</v>
      </c>
      <c r="C118" s="121">
        <f ca="1">IFERROR(IF(VALUE(RIGHT($B$109,2))&gt;$A118,0,AVERAGEIFS(Elec_On_Peak, 'Avoided AC'!$D:$D, $B118, 'Avoided AC'!$E:$E, "Summer") +
        INDEX(AEPS!$S$8:$S$37, MATCH($A118, 'General Inputs'!$F$3:$F$32, 0)) +
        OFFSET(DRIPE!$I$10, MATCH('LI Output'!$B118, DRIPE!$I$11:$I$30, 0), MATCH('LI Output'!$B$109, DRIPE!$J$10:$N$10, 0), 1, 1) +
        INDEX(Arrearages!C$5:J$24, MATCH($A118, Arrearages!$B$5:$B$24, 0), MATCH('General Inputs'!$C$2, Arrearages!$C$4:$J$4, 0))),"Data Missing")</f>
        <v>121.25284983313784</v>
      </c>
      <c r="D118" s="15">
        <f ca="1">IFERROR(IF(VALUE(RIGHT($B$109,2))&gt;$A118,0,AVERAGEIFS(Elec_Off_Peak, 'Avoided AC'!$D:$D, $B118, 'Avoided AC'!$E:$E, "Summer") +
        INDEX(AEPS!$S$8:$S$37, MATCH($A118, 'General Inputs'!$F$3:$F$32, 0)) +
        OFFSET(DRIPE!$I$10, MATCH('LI Output'!$B118, DRIPE!$I$11:$I$30, 0), MATCH('LI Output'!$B$109, DRIPE!$J$10:$N$10, 0), 1, 1) +
        INDEX(Arrearages!C$5:J$24, MATCH($A118, Arrearages!$B$5:$B$24, 0), MATCH('General Inputs'!$C$2, Arrearages!$C$4:$J$4, 0))),"Data Missing")</f>
        <v>91.34858701430089</v>
      </c>
      <c r="E118" s="15">
        <f ca="1">IFERROR(IF(VALUE(RIGHT($B$109,2))&gt;$A118,0,AVERAGEIFS(Elec_On_Peak, 'Avoided AC'!$D:$D, $B118, 'Avoided AC'!$E:$E, "Winter") +
        INDEX(AEPS!$S$8:$S$37, MATCH($A118, 'General Inputs'!$F$3:$F$32, 0)) +
        OFFSET(DRIPE!$I$10, MATCH('LI Output'!$B118, DRIPE!$I$11:$I$30, 0), MATCH('LI Output'!$B$109, DRIPE!$J$10:$N$10, 0), 1, 1) +
        INDEX(Arrearages!C$5:J$24, MATCH($A118, Arrearages!$B$5:$B$24, 0), MATCH('General Inputs'!$C$2, Arrearages!$C$4:$J$4, 0))),"Data Missing")</f>
        <v>131.11595580353338</v>
      </c>
      <c r="F118" s="15">
        <f ca="1">IFERROR(IF(VALUE(RIGHT($B$109,2))&gt;$A118,0,AVERAGEIFS(Elec_Off_Peak, 'Avoided AC'!$D:$D, $B118, 'Avoided AC'!$E:$E, "Winter") +
        INDEX(AEPS!$S$8:$S$37, MATCH($A118, 'General Inputs'!$F$3:$F$32, 0)) +
        OFFSET(DRIPE!$I$10, MATCH('LI Output'!$B118, DRIPE!$I$11:$I$30, 0), MATCH('LI Output'!$B$109, DRIPE!$J$10:$N$10, 0), 1, 1) +
        INDEX(Arrearages!C$5:J$24, MATCH($A118, Arrearages!$B$5:$B$24, 0), MATCH('General Inputs'!$C$2, Arrearages!$C$4:$J$4, 0))),"Data Missing")</f>
        <v>118.25742296956091</v>
      </c>
      <c r="G118" s="15">
        <f ca="1">IFERROR(IF(VALUE(RIGHT($B$109,2))&gt;$A118,0,AVERAGEIFS(Elec_On_Peak, 'Avoided AC'!$D:$D, $B118, 'Avoided AC'!$E:$E, "Shoulder") +
        INDEX(AEPS!$S$8:$S$37, MATCH($A118, 'General Inputs'!$F$3:$F$32, 0)) +
        OFFSET(DRIPE!$I$10, MATCH('LI Output'!$B118, DRIPE!$I$11:$I$30, 0), MATCH('LI Output'!$B$109, DRIPE!$J$10:$N$10, 0), 1, 1) +
        INDEX(Arrearages!C$5:J$24, MATCH($A118, Arrearages!$B$5:$B$24, 0), MATCH('General Inputs'!$C$2, Arrearages!$C$4:$J$4, 0))),"Data Missing")</f>
        <v>107.88516814308255</v>
      </c>
      <c r="H118" s="15">
        <f ca="1">IFERROR(IF(VALUE(RIGHT($B$109,2))&gt;$A118,0,AVERAGEIFS(Elec_Off_Peak, 'Avoided AC'!$D:$D, $B118, 'Avoided AC'!$E:$E, "Shoulder") +
        INDEX(AEPS!$S$8:$S$37, MATCH($A118, 'General Inputs'!$F$3:$F$32, 0)) +
        OFFSET(DRIPE!$I$10, MATCH('LI Output'!$B118, DRIPE!$I$11:$I$30, 0), MATCH('LI Output'!$B$109, DRIPE!$J$10:$N$10, 0), 1, 1) +
        INDEX(Arrearages!C$5:J$24, MATCH($A118, Arrearages!$B$5:$B$24, 0), MATCH('General Inputs'!$C$2, Arrearages!$C$4:$J$4, 0))),"Data Missing")</f>
        <v>95.136622815072542</v>
      </c>
      <c r="I118" s="15">
        <f ca="1">(IF(VALUE(RIGHT($B$109,2))&gt;$A118,0,INDEX('Generation Capacity'!$E$27:$K$48,MATCH($A118,'Generation Capacity'!$B$27:$B$48,FALSE),MATCH(EDC_NAME,'Generation Capacity'!$E$26:$K$26,FALSE))+
        OFFSET(DRIPE!$B$35,MATCH('LI Output'!$B118,DRIPE!$B$11:$B$30,0),MATCH('LI Output'!$B$109,DRIPE!$C$10:$G$10,0),1,1)))</f>
        <v>42.034799660168403</v>
      </c>
      <c r="J118" s="15">
        <f ca="1">(IF(VALUE(RIGHT($B$109,2))&gt;$A118,0,INDEX('Generation Capacity'!$E$27:$K$48,MATCH($A118,'Generation Capacity'!$B$27:$B$48,FALSE),MATCH(EDC_NAME,'Generation Capacity'!$E$26:$K$26,FALSE))+
        OFFSET(DRIPE!$I$35,MATCH('LI Output'!$B118,DRIPE!$B$11:$B$30,0),MATCH('LI Output'!$B$109,DRIPE!$C$10:$G$10,0),1,1)))</f>
        <v>42.034799660168403</v>
      </c>
      <c r="K118" s="15">
        <f ca="1">IFERROR(IF(VALUE(RIGHT($B$109,2))&gt;$A118,0,INDEX('T&amp;D Capacity'!$E$4:$K$23,MATCH($A118,'T&amp;D Capacity'!$B$4:$B$23,FALSE),MATCH(EDC_NAME,'T&amp;D Capacity'!$E$3:$K$3,FALSE))),0)</f>
        <v>9.7820268534975199</v>
      </c>
      <c r="L118" s="15">
        <f ca="1">IFERROR(IF(VALUE(RIGHT($B$109,2))&gt;$A118,0,INDEX('T&amp;D Capacity'!$E$28:$K$47,MATCH($A118,'T&amp;D Capacity'!$B$28:$B$47,FALSE),MATCH(EDC_NAME,'T&amp;D Capacity'!$E$27:$K$27,FALSE))),0)</f>
        <v>9.7820268534975199</v>
      </c>
      <c r="M118" s="15">
        <f ca="1">IFERROR(IF(VALUE(RIGHT($B$109,2))&gt;$A118,0,INDEX('T&amp;D Capacity'!$M$4:$S$23,MATCH($A118,'T&amp;D Capacity'!$B$4:$B$23,FALSE),MATCH(EDC_NAME,'T&amp;D Capacity'!$M$3:$S$3,FALSE))),0)</f>
        <v>63.482977572781131</v>
      </c>
      <c r="N118" s="15">
        <f ca="1">IFERROR(IF(VALUE(RIGHT($B$109,2))&gt;$A118,0,INDEX('T&amp;D Capacity'!$M$28:$S$47,MATCH($A118,'T&amp;D Capacity'!$B$28:$B$47,FALSE),MATCH(EDC_NAME,'T&amp;D Capacity'!$M$27:$S$27,FALSE))),0)</f>
        <v>9.2054715452904787</v>
      </c>
      <c r="O118" s="16">
        <f>IFERROR(IF(VALUE(RIGHT($B$109,2))&gt;$A118,0,IFERROR(AVERAGEIF('NG Futures'!$E:$E,$B118,'NG Futures'!$I:$I),"Data Missing")),0)</f>
        <v>3.4331546501092309</v>
      </c>
      <c r="P118" s="321"/>
    </row>
    <row r="119" spans="1:16" s="50" customFormat="1" ht="15" customHeight="1" x14ac:dyDescent="0.2">
      <c r="A119" s="124">
        <f t="shared" si="8"/>
        <v>24</v>
      </c>
      <c r="B119" s="124">
        <f t="shared" si="8"/>
        <v>2033</v>
      </c>
      <c r="C119" s="121">
        <f ca="1">IFERROR(IF(VALUE(RIGHT($B$109,2))&gt;$A119,0,AVERAGEIFS(Elec_On_Peak, 'Avoided AC'!$D:$D, $B119, 'Avoided AC'!$E:$E, "Summer") +
        INDEX(AEPS!$S$8:$S$37, MATCH($A119, 'General Inputs'!$F$3:$F$32, 0)) +
        OFFSET(DRIPE!$I$10, MATCH('LI Output'!$B119, DRIPE!$I$11:$I$30, 0), MATCH('LI Output'!$B$109, DRIPE!$J$10:$N$10, 0), 1, 1) +
        INDEX(Arrearages!C$5:J$24, MATCH($A119, Arrearages!$B$5:$B$24, 0), MATCH('General Inputs'!$C$2, Arrearages!$C$4:$J$4, 0))),"Data Missing")</f>
        <v>131.94691780379023</v>
      </c>
      <c r="D119" s="15">
        <f ca="1">IFERROR(IF(VALUE(RIGHT($B$109,2))&gt;$A119,0,AVERAGEIFS(Elec_Off_Peak, 'Avoided AC'!$D:$D, $B119, 'Avoided AC'!$E:$E, "Summer") +
        INDEX(AEPS!$S$8:$S$37, MATCH($A119, 'General Inputs'!$F$3:$F$32, 0)) +
        OFFSET(DRIPE!$I$10, MATCH('LI Output'!$B119, DRIPE!$I$11:$I$30, 0), MATCH('LI Output'!$B$109, DRIPE!$J$10:$N$10, 0), 1, 1) +
        INDEX(Arrearages!C$5:J$24, MATCH($A119, Arrearages!$B$5:$B$24, 0), MATCH('General Inputs'!$C$2, Arrearages!$C$4:$J$4, 0))),"Data Missing")</f>
        <v>101.34764691122373</v>
      </c>
      <c r="E119" s="15">
        <f ca="1">IFERROR(IF(VALUE(RIGHT($B$109,2))&gt;$A119,0,AVERAGEIFS(Elec_On_Peak, 'Avoided AC'!$D:$D, $B119, 'Avoided AC'!$E:$E, "Winter") +
        INDEX(AEPS!$S$8:$S$37, MATCH($A119, 'General Inputs'!$F$3:$F$32, 0)) +
        OFFSET(DRIPE!$I$10, MATCH('LI Output'!$B119, DRIPE!$I$11:$I$30, 0), MATCH('LI Output'!$B$109, DRIPE!$J$10:$N$10, 0), 1, 1) +
        INDEX(Arrearages!C$5:J$24, MATCH($A119, Arrearages!$B$5:$B$24, 0), MATCH('General Inputs'!$C$2, Arrearages!$C$4:$J$4, 0))),"Data Missing")</f>
        <v>143.77263524538671</v>
      </c>
      <c r="F119" s="15">
        <f ca="1">IFERROR(IF(VALUE(RIGHT($B$109,2))&gt;$A119,0,AVERAGEIFS(Elec_Off_Peak, 'Avoided AC'!$D:$D, $B119, 'Avoided AC'!$E:$E, "Winter") +
        INDEX(AEPS!$S$8:$S$37, MATCH($A119, 'General Inputs'!$F$3:$F$32, 0)) +
        OFFSET(DRIPE!$I$10, MATCH('LI Output'!$B119, DRIPE!$I$11:$I$30, 0), MATCH('LI Output'!$B$109, DRIPE!$J$10:$N$10, 0), 1, 1) +
        INDEX(Arrearages!C$5:J$24, MATCH($A119, Arrearages!$B$5:$B$24, 0), MATCH('General Inputs'!$C$2, Arrearages!$C$4:$J$4, 0))),"Data Missing")</f>
        <v>129.60806915254381</v>
      </c>
      <c r="G119" s="15">
        <f ca="1">IFERROR(IF(VALUE(RIGHT($B$109,2))&gt;$A119,0,AVERAGEIFS(Elec_On_Peak, 'Avoided AC'!$D:$D, $B119, 'Avoided AC'!$E:$E, "Shoulder") +
        INDEX(AEPS!$S$8:$S$37, MATCH($A119, 'General Inputs'!$F$3:$F$32, 0)) +
        OFFSET(DRIPE!$I$10, MATCH('LI Output'!$B119, DRIPE!$I$11:$I$30, 0), MATCH('LI Output'!$B$109, DRIPE!$J$10:$N$10, 0), 1, 1) +
        INDEX(Arrearages!C$5:J$24, MATCH($A119, Arrearages!$B$5:$B$24, 0), MATCH('General Inputs'!$C$2, Arrearages!$C$4:$J$4, 0))),"Data Missing")</f>
        <v>118.60707053960586</v>
      </c>
      <c r="H119" s="15">
        <f ca="1">IFERROR(IF(VALUE(RIGHT($B$109,2))&gt;$A119,0,AVERAGEIFS(Elec_Off_Peak, 'Avoided AC'!$D:$D, $B119, 'Avoided AC'!$E:$E, "Shoulder") +
        INDEX(AEPS!$S$8:$S$37, MATCH($A119, 'General Inputs'!$F$3:$F$32, 0)) +
        OFFSET(DRIPE!$I$10, MATCH('LI Output'!$B119, DRIPE!$I$11:$I$30, 0), MATCH('LI Output'!$B$109, DRIPE!$J$10:$N$10, 0), 1, 1) +
        INDEX(Arrearages!C$5:J$24, MATCH($A119, Arrearages!$B$5:$B$24, 0), MATCH('General Inputs'!$C$2, Arrearages!$C$4:$J$4, 0))),"Data Missing")</f>
        <v>105.15485137010197</v>
      </c>
      <c r="I119" s="15">
        <f ca="1">(IF(VALUE(RIGHT($B$109,2))&gt;$A119,0,INDEX('Generation Capacity'!$E$27:$K$48,MATCH($A119,'Generation Capacity'!$B$27:$B$48,FALSE),MATCH(EDC_NAME,'Generation Capacity'!$E$26:$K$26,FALSE))+
        OFFSET(DRIPE!$B$35,MATCH('LI Output'!$B119,DRIPE!$B$11:$B$30,0),MATCH('LI Output'!$B$109,DRIPE!$C$10:$G$10,0),1,1)))</f>
        <v>42.89928147161887</v>
      </c>
      <c r="J119" s="15">
        <f ca="1">(IF(VALUE(RIGHT($B$109,2))&gt;$A119,0,INDEX('Generation Capacity'!$E$27:$K$48,MATCH($A119,'Generation Capacity'!$B$27:$B$48,FALSE),MATCH(EDC_NAME,'Generation Capacity'!$E$26:$K$26,FALSE))+
        OFFSET(DRIPE!$I$35,MATCH('LI Output'!$B119,DRIPE!$B$11:$B$30,0),MATCH('LI Output'!$B$109,DRIPE!$C$10:$G$10,0),1,1)))</f>
        <v>42.89928147161887</v>
      </c>
      <c r="K119" s="15">
        <f ca="1">IFERROR(IF(VALUE(RIGHT($B$109,2))&gt;$A119,0,INDEX('T&amp;D Capacity'!$E$4:$K$23,MATCH($A119,'T&amp;D Capacity'!$B$4:$B$23,FALSE),MATCH(EDC_NAME,'T&amp;D Capacity'!$E$3:$K$3,FALSE))),0)</f>
        <v>9.9846657821396683</v>
      </c>
      <c r="L119" s="15">
        <f ca="1">IFERROR(IF(VALUE(RIGHT($B$109,2))&gt;$A119,0,INDEX('T&amp;D Capacity'!$E$28:$K$47,MATCH($A119,'T&amp;D Capacity'!$B$28:$B$47,FALSE),MATCH(EDC_NAME,'T&amp;D Capacity'!$E$27:$K$27,FALSE))),0)</f>
        <v>9.9846657821396683</v>
      </c>
      <c r="M119" s="15">
        <f ca="1">IFERROR(IF(VALUE(RIGHT($B$109,2))&gt;$A119,0,INDEX('T&amp;D Capacity'!$M$4:$S$23,MATCH($A119,'T&amp;D Capacity'!$B$4:$B$23,FALSE),MATCH(EDC_NAME,'T&amp;D Capacity'!$M$3:$S$3,FALSE))),0)</f>
        <v>64.798054985164484</v>
      </c>
      <c r="N119" s="15">
        <f ca="1">IFERROR(IF(VALUE(RIGHT($B$109,2))&gt;$A119,0,INDEX('T&amp;D Capacity'!$M$28:$S$47,MATCH($A119,'T&amp;D Capacity'!$B$28:$B$47,FALSE),MATCH(EDC_NAME,'T&amp;D Capacity'!$M$27:$S$27,FALSE))),0)</f>
        <v>9.396166880676569</v>
      </c>
      <c r="O119" s="16">
        <f>IFERROR(IF(VALUE(RIGHT($B$109,2))&gt;$A119,0,IFERROR(AVERAGEIF('NG Futures'!$E:$E,$B119,'NG Futures'!$I:$I),"Data Missing")),0)</f>
        <v>3.6808695479745581</v>
      </c>
      <c r="P119" s="321"/>
    </row>
    <row r="120" spans="1:16" s="50" customFormat="1" ht="15" customHeight="1" x14ac:dyDescent="0.2">
      <c r="A120" s="124">
        <f t="shared" si="8"/>
        <v>25</v>
      </c>
      <c r="B120" s="124">
        <f t="shared" si="8"/>
        <v>2034</v>
      </c>
      <c r="C120" s="121">
        <f ca="1">IFERROR(IF(VALUE(RIGHT($B$109,2))&gt;$A120,0,AVERAGEIFS(Elec_On_Peak, 'Avoided AC'!$D:$D, $B120, 'Avoided AC'!$E:$E, "Summer") +
        INDEX(AEPS!$S$8:$S$37, MATCH($A120, 'General Inputs'!$F$3:$F$32, 0)) +
        OFFSET(DRIPE!$I$10, MATCH('LI Output'!$B120, DRIPE!$I$11:$I$30, 0), MATCH('LI Output'!$B$109, DRIPE!$J$10:$N$10, 0), 1, 1) +
        INDEX(Arrearages!C$5:J$24, MATCH($A120, Arrearages!$B$5:$B$24, 0), MATCH('General Inputs'!$C$2, Arrearages!$C$4:$J$4, 0))),"Data Missing")</f>
        <v>133.29374024415475</v>
      </c>
      <c r="D120" s="15">
        <f ca="1">IFERROR(IF(VALUE(RIGHT($B$109,2))&gt;$A120,0,AVERAGEIFS(Elec_Off_Peak, 'Avoided AC'!$D:$D, $B120, 'Avoided AC'!$E:$E, "Summer") +
        INDEX(AEPS!$S$8:$S$37, MATCH($A120, 'General Inputs'!$F$3:$F$32, 0)) +
        OFFSET(DRIPE!$I$10, MATCH('LI Output'!$B120, DRIPE!$I$11:$I$30, 0), MATCH('LI Output'!$B$109, DRIPE!$J$10:$N$10, 0), 1, 1) +
        INDEX(Arrearages!C$5:J$24, MATCH($A120, Arrearages!$B$5:$B$24, 0), MATCH('General Inputs'!$C$2, Arrearages!$C$4:$J$4, 0))),"Data Missing")</f>
        <v>101.84325929763824</v>
      </c>
      <c r="E120" s="15">
        <f ca="1">IFERROR(IF(VALUE(RIGHT($B$109,2))&gt;$A120,0,AVERAGEIFS(Elec_On_Peak, 'Avoided AC'!$D:$D, $B120, 'Avoided AC'!$E:$E, "Winter") +
        INDEX(AEPS!$S$8:$S$37, MATCH($A120, 'General Inputs'!$F$3:$F$32, 0)) +
        OFFSET(DRIPE!$I$10, MATCH('LI Output'!$B120, DRIPE!$I$11:$I$30, 0), MATCH('LI Output'!$B$109, DRIPE!$J$10:$N$10, 0), 1, 1) +
        INDEX(Arrearages!C$5:J$24, MATCH($A120, Arrearages!$B$5:$B$24, 0), MATCH('General Inputs'!$C$2, Arrearages!$C$4:$J$4, 0))),"Data Missing")</f>
        <v>147.62240550922252</v>
      </c>
      <c r="F120" s="15">
        <f ca="1">IFERROR(IF(VALUE(RIGHT($B$109,2))&gt;$A120,0,AVERAGEIFS(Elec_Off_Peak, 'Avoided AC'!$D:$D, $B120, 'Avoided AC'!$E:$E, "Winter") +
        INDEX(AEPS!$S$8:$S$37, MATCH($A120, 'General Inputs'!$F$3:$F$32, 0)) +
        OFFSET(DRIPE!$I$10, MATCH('LI Output'!$B120, DRIPE!$I$11:$I$30, 0), MATCH('LI Output'!$B$109, DRIPE!$J$10:$N$10, 0), 1, 1) +
        INDEX(Arrearages!C$5:J$24, MATCH($A120, Arrearages!$B$5:$B$24, 0), MATCH('General Inputs'!$C$2, Arrearages!$C$4:$J$4, 0))),"Data Missing")</f>
        <v>131.82737978620111</v>
      </c>
      <c r="G120" s="15">
        <f ca="1">IFERROR(IF(VALUE(RIGHT($B$109,2))&gt;$A120,0,AVERAGEIFS(Elec_On_Peak, 'Avoided AC'!$D:$D, $B120, 'Avoided AC'!$E:$E, "Shoulder") +
        INDEX(AEPS!$S$8:$S$37, MATCH($A120, 'General Inputs'!$F$3:$F$32, 0)) +
        OFFSET(DRIPE!$I$10, MATCH('LI Output'!$B120, DRIPE!$I$11:$I$30, 0), MATCH('LI Output'!$B$109, DRIPE!$J$10:$N$10, 0), 1, 1) +
        INDEX(Arrearages!C$5:J$24, MATCH($A120, Arrearages!$B$5:$B$24, 0), MATCH('General Inputs'!$C$2, Arrearages!$C$4:$J$4, 0))),"Data Missing")</f>
        <v>120.27784397892025</v>
      </c>
      <c r="H120" s="15">
        <f ca="1">IFERROR(IF(VALUE(RIGHT($B$109,2))&gt;$A120,0,AVERAGEIFS(Elec_Off_Peak, 'Avoided AC'!$D:$D, $B120, 'Avoided AC'!$E:$E, "Shoulder") +
        INDEX(AEPS!$S$8:$S$37, MATCH($A120, 'General Inputs'!$F$3:$F$32, 0)) +
        OFFSET(DRIPE!$I$10, MATCH('LI Output'!$B120, DRIPE!$I$11:$I$30, 0), MATCH('LI Output'!$B$109, DRIPE!$J$10:$N$10, 0), 1, 1) +
        INDEX(Arrearages!C$5:J$24, MATCH($A120, Arrearages!$B$5:$B$24, 0), MATCH('General Inputs'!$C$2, Arrearages!$C$4:$J$4, 0))),"Data Missing")</f>
        <v>105.87355820692656</v>
      </c>
      <c r="I120" s="15">
        <f ca="1">(IF(VALUE(RIGHT($B$109,2))&gt;$A120,0,INDEX('Generation Capacity'!$E$27:$K$48,MATCH($A120,'Generation Capacity'!$B$27:$B$48,FALSE),MATCH(EDC_NAME,'Generation Capacity'!$E$26:$K$26,FALSE))+
        OFFSET(DRIPE!$B$35,MATCH('LI Output'!$B120,DRIPE!$B$11:$B$30,0),MATCH('LI Output'!$B$109,DRIPE!$C$10:$G$10,0),1,1)))</f>
        <v>43.775871077277742</v>
      </c>
      <c r="J120" s="15">
        <f ca="1">(IF(VALUE(RIGHT($B$109,2))&gt;$A120,0,INDEX('Generation Capacity'!$E$27:$K$48,MATCH($A120,'Generation Capacity'!$B$27:$B$48,FALSE),MATCH(EDC_NAME,'Generation Capacity'!$E$26:$K$26,FALSE))+
        OFFSET(DRIPE!$I$35,MATCH('LI Output'!$B120,DRIPE!$B$11:$B$30,0),MATCH('LI Output'!$B$109,DRIPE!$C$10:$G$10,0),1,1)))</f>
        <v>43.775871077277742</v>
      </c>
      <c r="K120" s="15">
        <f ca="1">IFERROR(IF(VALUE(RIGHT($B$109,2))&gt;$A120,0,INDEX('T&amp;D Capacity'!$E$4:$K$23,MATCH($A120,'T&amp;D Capacity'!$B$4:$B$23,FALSE),MATCH(EDC_NAME,'T&amp;D Capacity'!$E$3:$K$3,FALSE))),0)</f>
        <v>10.191502464071213</v>
      </c>
      <c r="L120" s="15">
        <f ca="1">IFERROR(IF(VALUE(RIGHT($B$109,2))&gt;$A120,0,INDEX('T&amp;D Capacity'!$E$28:$K$47,MATCH($A120,'T&amp;D Capacity'!$B$28:$B$47,FALSE),MATCH(EDC_NAME,'T&amp;D Capacity'!$E$27:$K$27,FALSE))),0)</f>
        <v>10.191502464071213</v>
      </c>
      <c r="M120" s="15">
        <f ca="1">IFERROR(IF(VALUE(RIGHT($B$109,2))&gt;$A120,0,INDEX('T&amp;D Capacity'!$M$4:$S$23,MATCH($A120,'T&amp;D Capacity'!$B$4:$B$23,FALSE),MATCH(EDC_NAME,'T&amp;D Capacity'!$M$3:$S$3,FALSE))),0)</f>
        <v>66.140374796481908</v>
      </c>
      <c r="N120" s="15">
        <f ca="1">IFERROR(IF(VALUE(RIGHT($B$109,2))&gt;$A120,0,INDEX('T&amp;D Capacity'!$M$28:$S$47,MATCH($A120,'T&amp;D Capacity'!$B$28:$B$47,FALSE),MATCH(EDC_NAME,'T&amp;D Capacity'!$M$27:$S$27,FALSE))),0)</f>
        <v>9.5908125526379333</v>
      </c>
      <c r="O120" s="16">
        <f>IFERROR(IF(VALUE(RIGHT($B$109,2))&gt;$A120,0,IFERROR(AVERAGEIF('NG Futures'!$E:$E,$B120,'NG Futures'!$I:$I),"Data Missing")),0)</f>
        <v>3.9952671302460749</v>
      </c>
      <c r="P120" s="321"/>
    </row>
    <row r="121" spans="1:16" s="50" customFormat="1" ht="15" customHeight="1" x14ac:dyDescent="0.2">
      <c r="A121" s="124">
        <f t="shared" si="8"/>
        <v>26</v>
      </c>
      <c r="B121" s="124">
        <f t="shared" si="8"/>
        <v>2035</v>
      </c>
      <c r="C121" s="121">
        <f ca="1">IFERROR(IF(VALUE(RIGHT($B$109,2))&gt;$A121,0,AVERAGEIFS(Elec_On_Peak, 'Avoided AC'!$D:$D, $B121, 'Avoided AC'!$E:$E, "Summer") +
        INDEX(AEPS!$S$8:$S$37, MATCH($A121, 'General Inputs'!$F$3:$F$32, 0)) +
        OFFSET(DRIPE!$I$10, MATCH('LI Output'!$B121, DRIPE!$I$11:$I$30, 0), MATCH('LI Output'!$B$109, DRIPE!$J$10:$N$10, 0), 1, 1) +
        INDEX(Arrearages!C$5:J$24, MATCH($A121, Arrearages!$B$5:$B$24, 0), MATCH('General Inputs'!$C$2, Arrearages!$C$4:$J$4, 0))),"Data Missing")</f>
        <v>103.13861729669094</v>
      </c>
      <c r="D121" s="15">
        <f ca="1">IFERROR(IF(VALUE(RIGHT($B$109,2))&gt;$A121,0,AVERAGEIFS(Elec_Off_Peak, 'Avoided AC'!$D:$D, $B121, 'Avoided AC'!$E:$E, "Summer") +
        INDEX(AEPS!$S$8:$S$37, MATCH($A121, 'General Inputs'!$F$3:$F$32, 0)) +
        OFFSET(DRIPE!$I$10, MATCH('LI Output'!$B121, DRIPE!$I$11:$I$30, 0), MATCH('LI Output'!$B$109, DRIPE!$J$10:$N$10, 0), 1, 1) +
        INDEX(Arrearages!C$5:J$24, MATCH($A121, Arrearages!$B$5:$B$24, 0), MATCH('General Inputs'!$C$2, Arrearages!$C$4:$J$4, 0))),"Data Missing")</f>
        <v>70.869055878192299</v>
      </c>
      <c r="E121" s="15">
        <f ca="1">IFERROR(IF(VALUE(RIGHT($B$109,2))&gt;$A121,0,AVERAGEIFS(Elec_On_Peak, 'Avoided AC'!$D:$D, $B121, 'Avoided AC'!$E:$E, "Winter") +
        INDEX(AEPS!$S$8:$S$37, MATCH($A121, 'General Inputs'!$F$3:$F$32, 0)) +
        OFFSET(DRIPE!$I$10, MATCH('LI Output'!$B121, DRIPE!$I$11:$I$30, 0), MATCH('LI Output'!$B$109, DRIPE!$J$10:$N$10, 0), 1, 1) +
        INDEX(Arrearages!C$5:J$24, MATCH($A121, Arrearages!$B$5:$B$24, 0), MATCH('General Inputs'!$C$2, Arrearages!$C$4:$J$4, 0))),"Data Missing")</f>
        <v>119.72768821880611</v>
      </c>
      <c r="F121" s="15">
        <f ca="1">IFERROR(IF(VALUE(RIGHT($B$109,2))&gt;$A121,0,AVERAGEIFS(Elec_Off_Peak, 'Avoided AC'!$D:$D, $B121, 'Avoided AC'!$E:$E, "Winter") +
        INDEX(AEPS!$S$8:$S$37, MATCH($A121, 'General Inputs'!$F$3:$F$32, 0)) +
        OFFSET(DRIPE!$I$10, MATCH('LI Output'!$B121, DRIPE!$I$11:$I$30, 0), MATCH('LI Output'!$B$109, DRIPE!$J$10:$N$10, 0), 1, 1) +
        INDEX(Arrearages!C$5:J$24, MATCH($A121, Arrearages!$B$5:$B$24, 0), MATCH('General Inputs'!$C$2, Arrearages!$C$4:$J$4, 0))),"Data Missing")</f>
        <v>102.40984376212525</v>
      </c>
      <c r="G121" s="15">
        <f ca="1">IFERROR(IF(VALUE(RIGHT($B$109,2))&gt;$A121,0,AVERAGEIFS(Elec_On_Peak, 'Avoided AC'!$D:$D, $B121, 'Avoided AC'!$E:$E, "Shoulder") +
        INDEX(AEPS!$S$8:$S$37, MATCH($A121, 'General Inputs'!$F$3:$F$32, 0)) +
        OFFSET(DRIPE!$I$10, MATCH('LI Output'!$B121, DRIPE!$I$11:$I$30, 0), MATCH('LI Output'!$B$109, DRIPE!$J$10:$N$10, 0), 1, 1) +
        INDEX(Arrearages!C$5:J$24, MATCH($A121, Arrearages!$B$5:$B$24, 0), MATCH('General Inputs'!$C$2, Arrearages!$C$4:$J$4, 0))),"Data Missing")</f>
        <v>90.544767853443929</v>
      </c>
      <c r="H121" s="15">
        <f ca="1">IFERROR(IF(VALUE(RIGHT($B$109,2))&gt;$A121,0,AVERAGEIFS(Elec_Off_Peak, 'Avoided AC'!$D:$D, $B121, 'Avoided AC'!$E:$E, "Shoulder") +
        INDEX(AEPS!$S$8:$S$37, MATCH($A121, 'General Inputs'!$F$3:$F$32, 0)) +
        OFFSET(DRIPE!$I$10, MATCH('LI Output'!$B121, DRIPE!$I$11:$I$30, 0), MATCH('LI Output'!$B$109, DRIPE!$J$10:$N$10, 0), 1, 1) +
        INDEX(Arrearages!C$5:J$24, MATCH($A121, Arrearages!$B$5:$B$24, 0), MATCH('General Inputs'!$C$2, Arrearages!$C$4:$J$4, 0))),"Data Missing")</f>
        <v>75.190004620646249</v>
      </c>
      <c r="I121" s="15">
        <f ca="1">(IF(VALUE(RIGHT($B$109,2))&gt;$A121,0,INDEX('Generation Capacity'!$E$27:$K$48,MATCH($A121,'Generation Capacity'!$B$27:$B$48,FALSE),MATCH(EDC_NAME,'Generation Capacity'!$E$26:$K$26,FALSE))+
        OFFSET(DRIPE!$B$35,MATCH('LI Output'!$B121,DRIPE!$B$11:$B$30,0),MATCH('LI Output'!$B$109,DRIPE!$C$10:$G$10,0),1,1)))</f>
        <v>30.004819295353062</v>
      </c>
      <c r="J121" s="15">
        <f ca="1">(IF(VALUE(RIGHT($B$109,2))&gt;$A121,0,INDEX('Generation Capacity'!$E$27:$K$48,MATCH($A121,'Generation Capacity'!$B$27:$B$48,FALSE),MATCH(EDC_NAME,'Generation Capacity'!$E$26:$K$26,FALSE))+
        OFFSET(DRIPE!$I$35,MATCH('LI Output'!$B121,DRIPE!$B$11:$B$30,0),MATCH('LI Output'!$B$109,DRIPE!$C$10:$G$10,0),1,1)))</f>
        <v>30.004819295353062</v>
      </c>
      <c r="K121" s="15">
        <f ca="1">IFERROR(IF(VALUE(RIGHT($B$109,2))&gt;$A121,0,INDEX('T&amp;D Capacity'!$E$4:$K$23,MATCH($A121,'T&amp;D Capacity'!$B$4:$B$23,FALSE),MATCH(EDC_NAME,'T&amp;D Capacity'!$E$3:$K$3,FALSE))),0)</f>
        <v>10.402623857572072</v>
      </c>
      <c r="L121" s="15">
        <f ca="1">IFERROR(IF(VALUE(RIGHT($B$109,2))&gt;$A121,0,INDEX('T&amp;D Capacity'!$E$28:$K$47,MATCH($A121,'T&amp;D Capacity'!$B$28:$B$47,FALSE),MATCH(EDC_NAME,'T&amp;D Capacity'!$E$27:$K$27,FALSE))),0)</f>
        <v>10.402623857572072</v>
      </c>
      <c r="M121" s="15">
        <f ca="1">IFERROR(IF(VALUE(RIGHT($B$109,2))&gt;$A121,0,INDEX('T&amp;D Capacity'!$M$4:$S$23,MATCH($A121,'T&amp;D Capacity'!$B$4:$B$23,FALSE),MATCH(EDC_NAME,'T&amp;D Capacity'!$M$3:$S$3,FALSE))),0)</f>
        <v>67.510501344842098</v>
      </c>
      <c r="N121" s="15">
        <f ca="1">IFERROR(IF(VALUE(RIGHT($B$109,2))&gt;$A121,0,INDEX('T&amp;D Capacity'!$M$28:$S$47,MATCH($A121,'T&amp;D Capacity'!$B$28:$B$47,FALSE),MATCH(EDC_NAME,'T&amp;D Capacity'!$M$27:$S$27,FALSE))),0)</f>
        <v>9.7894903941099525</v>
      </c>
      <c r="O121" s="16">
        <f>IFERROR(IF(VALUE(RIGHT($B$109,2))&gt;$A121,0,IFERROR(AVERAGEIF('NG Futures'!$E:$E,$B121,'NG Futures'!$I:$I),"Data Missing")),0)</f>
        <v>4.297775585014695</v>
      </c>
      <c r="P121" s="321"/>
    </row>
    <row r="122" spans="1:16" s="50" customFormat="1" ht="15" customHeight="1" x14ac:dyDescent="0.2">
      <c r="A122" s="124">
        <f t="shared" si="8"/>
        <v>27</v>
      </c>
      <c r="B122" s="124">
        <f t="shared" si="8"/>
        <v>2036</v>
      </c>
      <c r="C122" s="121">
        <f ca="1">IFERROR(IF(VALUE(RIGHT($B$109,2))&gt;$A122,0,AVERAGEIFS(Elec_On_Peak, 'Avoided AC'!$D:$D, $B122, 'Avoided AC'!$E:$E, "Summer") +
        INDEX(AEPS!$S$8:$S$37, MATCH($A122, 'General Inputs'!$F$3:$F$32, 0)) +
        OFFSET(DRIPE!$I$10, MATCH('LI Output'!$B122, DRIPE!$I$11:$I$30, 0), MATCH('LI Output'!$B$109, DRIPE!$J$10:$N$10, 0), 1, 1) +
        INDEX(Arrearages!C$5:J$24, MATCH($A122, Arrearages!$B$5:$B$24, 0), MATCH('General Inputs'!$C$2, Arrearages!$C$4:$J$4, 0))),"Data Missing")</f>
        <v>106.14802988415305</v>
      </c>
      <c r="D122" s="15">
        <f ca="1">IFERROR(IF(VALUE(RIGHT($B$109,2))&gt;$A122,0,AVERAGEIFS(Elec_Off_Peak, 'Avoided AC'!$D:$D, $B122, 'Avoided AC'!$E:$E, "Summer") +
        INDEX(AEPS!$S$8:$S$37, MATCH($A122, 'General Inputs'!$F$3:$F$32, 0)) +
        OFFSET(DRIPE!$I$10, MATCH('LI Output'!$B122, DRIPE!$I$11:$I$30, 0), MATCH('LI Output'!$B$109, DRIPE!$J$10:$N$10, 0), 1, 1) +
        INDEX(Arrearages!C$5:J$24, MATCH($A122, Arrearages!$B$5:$B$24, 0), MATCH('General Inputs'!$C$2, Arrearages!$C$4:$J$4, 0))),"Data Missing")</f>
        <v>73.12381653192368</v>
      </c>
      <c r="E122" s="15">
        <f ca="1">IFERROR(IF(VALUE(RIGHT($B$109,2))&gt;$A122,0,AVERAGEIFS(Elec_On_Peak, 'Avoided AC'!$D:$D, $B122, 'Avoided AC'!$E:$E, "Winter") +
        INDEX(AEPS!$S$8:$S$37, MATCH($A122, 'General Inputs'!$F$3:$F$32, 0)) +
        OFFSET(DRIPE!$I$10, MATCH('LI Output'!$B122, DRIPE!$I$11:$I$30, 0), MATCH('LI Output'!$B$109, DRIPE!$J$10:$N$10, 0), 1, 1) +
        INDEX(Arrearages!C$5:J$24, MATCH($A122, Arrearages!$B$5:$B$24, 0), MATCH('General Inputs'!$C$2, Arrearages!$C$4:$J$4, 0))),"Data Missing")</f>
        <v>124.71159132922962</v>
      </c>
      <c r="F122" s="15">
        <f ca="1">IFERROR(IF(VALUE(RIGHT($B$109,2))&gt;$A122,0,AVERAGEIFS(Elec_Off_Peak, 'Avoided AC'!$D:$D, $B122, 'Avoided AC'!$E:$E, "Winter") +
        INDEX(AEPS!$S$8:$S$37, MATCH($A122, 'General Inputs'!$F$3:$F$32, 0)) +
        OFFSET(DRIPE!$I$10, MATCH('LI Output'!$B122, DRIPE!$I$11:$I$30, 0), MATCH('LI Output'!$B$109, DRIPE!$J$10:$N$10, 0), 1, 1) +
        INDEX(Arrearages!C$5:J$24, MATCH($A122, Arrearages!$B$5:$B$24, 0), MATCH('General Inputs'!$C$2, Arrearages!$C$4:$J$4, 0))),"Data Missing")</f>
        <v>106.02437141607557</v>
      </c>
      <c r="G122" s="15">
        <f ca="1">IFERROR(IF(VALUE(RIGHT($B$109,2))&gt;$A122,0,AVERAGEIFS(Elec_On_Peak, 'Avoided AC'!$D:$D, $B122, 'Avoided AC'!$E:$E, "Shoulder") +
        INDEX(AEPS!$S$8:$S$37, MATCH($A122, 'General Inputs'!$F$3:$F$32, 0)) +
        OFFSET(DRIPE!$I$10, MATCH('LI Output'!$B122, DRIPE!$I$11:$I$30, 0), MATCH('LI Output'!$B$109, DRIPE!$J$10:$N$10, 0), 1, 1) +
        INDEX(Arrearages!C$5:J$24, MATCH($A122, Arrearages!$B$5:$B$24, 0), MATCH('General Inputs'!$C$2, Arrearages!$C$4:$J$4, 0))),"Data Missing")</f>
        <v>93.708604669807769</v>
      </c>
      <c r="H122" s="15">
        <f ca="1">IFERROR(IF(VALUE(RIGHT($B$109,2))&gt;$A122,0,AVERAGEIFS(Elec_Off_Peak, 'Avoided AC'!$D:$D, $B122, 'Avoided AC'!$E:$E, "Shoulder") +
        INDEX(AEPS!$S$8:$S$37, MATCH($A122, 'General Inputs'!$F$3:$F$32, 0)) +
        OFFSET(DRIPE!$I$10, MATCH('LI Output'!$B122, DRIPE!$I$11:$I$30, 0), MATCH('LI Output'!$B$109, DRIPE!$J$10:$N$10, 0), 1, 1) +
        INDEX(Arrearages!C$5:J$24, MATCH($A122, Arrearages!$B$5:$B$24, 0), MATCH('General Inputs'!$C$2, Arrearages!$C$4:$J$4, 0))),"Data Missing")</f>
        <v>77.551112186683838</v>
      </c>
      <c r="I122" s="15">
        <f ca="1">(IF(VALUE(RIGHT($B$109,2))&gt;$A122,0,INDEX('Generation Capacity'!$E$27:$K$48,MATCH($A122,'Generation Capacity'!$B$27:$B$48,FALSE),MATCH(EDC_NAME,'Generation Capacity'!$E$26:$K$26,FALSE))+
        OFFSET(DRIPE!$B$35,MATCH('LI Output'!$B122,DRIPE!$B$11:$B$30,0),MATCH('LI Output'!$B$109,DRIPE!$C$10:$G$10,0),1,1)))</f>
        <v>30.626382139860866</v>
      </c>
      <c r="J122" s="15">
        <f ca="1">(IF(VALUE(RIGHT($B$109,2))&gt;$A122,0,INDEX('Generation Capacity'!$E$27:$K$48,MATCH($A122,'Generation Capacity'!$B$27:$B$48,FALSE),MATCH(EDC_NAME,'Generation Capacity'!$E$26:$K$26,FALSE))+
        OFFSET(DRIPE!$I$35,MATCH('LI Output'!$B122,DRIPE!$B$11:$B$30,0),MATCH('LI Output'!$B$109,DRIPE!$C$10:$G$10,0),1,1)))</f>
        <v>30.626382139860866</v>
      </c>
      <c r="K122" s="15">
        <f ca="1">IFERROR(IF(VALUE(RIGHT($B$109,2))&gt;$A122,0,INDEX('T&amp;D Capacity'!$E$4:$K$23,MATCH($A122,'T&amp;D Capacity'!$B$4:$B$23,FALSE),MATCH(EDC_NAME,'T&amp;D Capacity'!$E$3:$K$3,FALSE))),0)</f>
        <v>10.61811872230064</v>
      </c>
      <c r="L122" s="15">
        <f ca="1">IFERROR(IF(VALUE(RIGHT($B$109,2))&gt;$A122,0,INDEX('T&amp;D Capacity'!$E$28:$K$47,MATCH($A122,'T&amp;D Capacity'!$B$28:$B$47,FALSE),MATCH(EDC_NAME,'T&amp;D Capacity'!$E$27:$K$27,FALSE))),0)</f>
        <v>10.61811872230064</v>
      </c>
      <c r="M122" s="15">
        <f ca="1">IFERROR(IF(VALUE(RIGHT($B$109,2))&gt;$A122,0,INDEX('T&amp;D Capacity'!$M$4:$S$23,MATCH($A122,'T&amp;D Capacity'!$B$4:$B$23,FALSE),MATCH(EDC_NAME,'T&amp;D Capacity'!$M$3:$S$3,FALSE))),0)</f>
        <v>68.909010658862414</v>
      </c>
      <c r="N122" s="15">
        <f ca="1">IFERROR(IF(VALUE(RIGHT($B$109,2))&gt;$A122,0,INDEX('T&amp;D Capacity'!$M$28:$S$47,MATCH($A122,'T&amp;D Capacity'!$B$28:$B$47,FALSE),MATCH(EDC_NAME,'T&amp;D Capacity'!$M$27:$S$27,FALSE))),0)</f>
        <v>9.9922839332327538</v>
      </c>
      <c r="O122" s="16">
        <f>IFERROR(IF(VALUE(RIGHT($B$109,2))&gt;$A122,0,IFERROR(AVERAGEIF('NG Futures'!$E:$E,$B122,'NG Futures'!$I:$I),"Data Missing")),0)</f>
        <v>4.5669539736620006</v>
      </c>
      <c r="P122" s="322"/>
    </row>
    <row r="123" spans="1:16" s="50" customFormat="1" ht="15" customHeight="1" x14ac:dyDescent="0.2">
      <c r="A123" s="124">
        <f t="shared" si="8"/>
        <v>28</v>
      </c>
      <c r="B123" s="124">
        <f t="shared" si="8"/>
        <v>2037</v>
      </c>
      <c r="C123" s="122">
        <f ca="1">IFERROR(IF(VALUE(RIGHT($B$109,2))&gt;$A123,0,AVERAGEIFS(Elec_On_Peak, 'Avoided AC'!$D:$D, $B123, 'Avoided AC'!$E:$E, "Summer") +
        INDEX(AEPS!$S$8:$S$37, MATCH($A123, 'General Inputs'!$F$3:$F$32, 0)) +
        OFFSET(DRIPE!$I$10, MATCH('LI Output'!$B123, DRIPE!$I$11:$I$30, 0), MATCH('LI Output'!$B$109, DRIPE!$J$10:$N$10, 0), 1, 1) +
        INDEX(Arrearages!C$5:J$24, MATCH($A123, Arrearages!$B$5:$B$24, 0), MATCH('General Inputs'!$C$2, Arrearages!$C$4:$J$4, 0))),"Data Missing")</f>
        <v>108.14498023722658</v>
      </c>
      <c r="D123" s="17">
        <f ca="1">IFERROR(IF(VALUE(RIGHT($B$109,2))&gt;$A123,0,AVERAGEIFS(Elec_Off_Peak, 'Avoided AC'!$D:$D, $B123, 'Avoided AC'!$E:$E, "Summer") +
        INDEX(AEPS!$S$8:$S$37, MATCH($A123, 'General Inputs'!$F$3:$F$32, 0)) +
        OFFSET(DRIPE!$I$10, MATCH('LI Output'!$B123, DRIPE!$I$11:$I$30, 0), MATCH('LI Output'!$B$109, DRIPE!$J$10:$N$10, 0), 1, 1) +
        INDEX(Arrearages!C$5:J$24, MATCH($A123, Arrearages!$B$5:$B$24, 0), MATCH('General Inputs'!$C$2, Arrearages!$C$4:$J$4, 0))),"Data Missing")</f>
        <v>74.684973115619727</v>
      </c>
      <c r="E123" s="17">
        <f ca="1">IFERROR(IF(VALUE(RIGHT($B$109,2))&gt;$A123,0,AVERAGEIFS(Elec_On_Peak, 'Avoided AC'!$D:$D, $B123, 'Avoided AC'!$E:$E, "Winter") +
        INDEX(AEPS!$S$8:$S$37, MATCH($A123, 'General Inputs'!$F$3:$F$32, 0)) +
        OFFSET(DRIPE!$I$10, MATCH('LI Output'!$B123, DRIPE!$I$11:$I$30, 0), MATCH('LI Output'!$B$109, DRIPE!$J$10:$N$10, 0), 1, 1) +
        INDEX(Arrearages!C$5:J$24, MATCH($A123, Arrearages!$B$5:$B$24, 0), MATCH('General Inputs'!$C$2, Arrearages!$C$4:$J$4, 0))),"Data Missing")</f>
        <v>128.32637543752634</v>
      </c>
      <c r="F123" s="17">
        <f ca="1">IFERROR(IF(VALUE(RIGHT($B$109,2))&gt;$A123,0,AVERAGEIFS(Elec_Off_Peak, 'Avoided AC'!$D:$D, $B123, 'Avoided AC'!$E:$E, "Winter") +
        INDEX(AEPS!$S$8:$S$37, MATCH($A123, 'General Inputs'!$F$3:$F$32, 0)) +
        OFFSET(DRIPE!$I$10, MATCH('LI Output'!$B123, DRIPE!$I$11:$I$30, 0), MATCH('LI Output'!$B$109, DRIPE!$J$10:$N$10, 0), 1, 1) +
        INDEX(Arrearages!C$5:J$24, MATCH($A123, Arrearages!$B$5:$B$24, 0), MATCH('General Inputs'!$C$2, Arrearages!$C$4:$J$4, 0))),"Data Missing")</f>
        <v>108.69967715704045</v>
      </c>
      <c r="G123" s="17">
        <f ca="1">IFERROR(IF(VALUE(RIGHT($B$109,2))&gt;$A123,0,AVERAGEIFS(Elec_On_Peak, 'Avoided AC'!$D:$D, $B123, 'Avoided AC'!$E:$E, "Shoulder") +
        INDEX(AEPS!$S$8:$S$37, MATCH($A123, 'General Inputs'!$F$3:$F$32, 0)) +
        OFFSET(DRIPE!$I$10, MATCH('LI Output'!$B123, DRIPE!$I$11:$I$30, 0), MATCH('LI Output'!$B$109, DRIPE!$J$10:$N$10, 0), 1, 1) +
        INDEX(Arrearages!C$5:J$24, MATCH($A123, Arrearages!$B$5:$B$24, 0), MATCH('General Inputs'!$C$2, Arrearages!$C$4:$J$4, 0))),"Data Missing")</f>
        <v>95.852726665662999</v>
      </c>
      <c r="H123" s="17">
        <f ca="1">IFERROR(IF(VALUE(RIGHT($B$109,2))&gt;$A123,0,AVERAGEIFS(Elec_Off_Peak, 'Avoided AC'!$D:$D, $B123, 'Avoided AC'!$E:$E, "Shoulder") +
        INDEX(AEPS!$S$8:$S$37, MATCH($A123, 'General Inputs'!$F$3:$F$32, 0)) +
        OFFSET(DRIPE!$I$10, MATCH('LI Output'!$B123, DRIPE!$I$11:$I$30, 0), MATCH('LI Output'!$B$109, DRIPE!$J$10:$N$10, 0), 1, 1) +
        INDEX(Arrearages!C$5:J$24, MATCH($A123, Arrearages!$B$5:$B$24, 0), MATCH('General Inputs'!$C$2, Arrearages!$C$4:$J$4, 0))),"Data Missing")</f>
        <v>79.213621063994552</v>
      </c>
      <c r="I123" s="17">
        <f ca="1">(IF(VALUE(RIGHT($B$109,2))&gt;$A123,0,INDEX('Generation Capacity'!$E$27:$K$48,MATCH($A123,'Generation Capacity'!$B$27:$B$48,FALSE),MATCH(EDC_NAME,'Generation Capacity'!$E$26:$K$26,FALSE))+
        OFFSET(DRIPE!$B$35,MATCH('LI Output'!$B123,DRIPE!$B$11:$B$30,0),MATCH('LI Output'!$B$109,DRIPE!$C$10:$G$10,0),1,1)))</f>
        <v>31.260820928258536</v>
      </c>
      <c r="J123" s="17">
        <f ca="1">(IF(VALUE(RIGHT($B$109,2))&gt;$A123,0,INDEX('Generation Capacity'!$E$27:$K$48,MATCH($A123,'Generation Capacity'!$B$27:$B$48,FALSE),MATCH(EDC_NAME,'Generation Capacity'!$E$26:$K$26,FALSE))+
        OFFSET(DRIPE!$I$35,MATCH('LI Output'!$B123,DRIPE!$B$11:$B$30,0),MATCH('LI Output'!$B$109,DRIPE!$C$10:$G$10,0),1,1)))</f>
        <v>31.260820928258536</v>
      </c>
      <c r="K123" s="17">
        <f ca="1">IFERROR(IF(VALUE(RIGHT($B$109,2))&gt;$A123,0,INDEX('T&amp;D Capacity'!$E$4:$K$23,MATCH($A123,'T&amp;D Capacity'!$B$4:$B$23,FALSE),MATCH(EDC_NAME,'T&amp;D Capacity'!$E$3:$K$3,FALSE))),0)</f>
        <v>10.838077656610132</v>
      </c>
      <c r="L123" s="17">
        <f ca="1">IFERROR(IF(VALUE(RIGHT($B$109,2))&gt;$A123,0,INDEX('T&amp;D Capacity'!$E$28:$K$47,MATCH($A123,'T&amp;D Capacity'!$B$28:$B$47,FALSE),MATCH(EDC_NAME,'T&amp;D Capacity'!$E$27:$K$27,FALSE))),0)</f>
        <v>10.838077656610132</v>
      </c>
      <c r="M123" s="17">
        <f ca="1">IFERROR(IF(VALUE(RIGHT($B$109,2))&gt;$A123,0,INDEX('T&amp;D Capacity'!$M$4:$S$23,MATCH($A123,'T&amp;D Capacity'!$B$4:$B$23,FALSE),MATCH(EDC_NAME,'T&amp;D Capacity'!$M$3:$S$3,FALSE))),0)</f>
        <v>70.336490699842841</v>
      </c>
      <c r="N123" s="17">
        <f ca="1">IFERROR(IF(VALUE(RIGHT($B$109,2))&gt;$A123,0,INDEX('T&amp;D Capacity'!$M$28:$S$47,MATCH($A123,'T&amp;D Capacity'!$B$28:$B$47,FALSE),MATCH(EDC_NAME,'T&amp;D Capacity'!$M$27:$S$27,FALSE))),0)</f>
        <v>10.199278428468112</v>
      </c>
      <c r="O123" s="18">
        <f>IFERROR(IF(VALUE(RIGHT($B$109,2))&gt;$A123,0,IFERROR(AVERAGEIF('NG Futures'!$E:$E,$B123,'NG Futures'!$I:$I),"Data Missing")),0)</f>
        <v>4.7349761155534029</v>
      </c>
      <c r="P123" s="323" t="s">
        <v>129</v>
      </c>
    </row>
    <row r="124" spans="1:16" s="50" customFormat="1" ht="15" customHeight="1" x14ac:dyDescent="0.2">
      <c r="A124" s="124">
        <f t="shared" si="8"/>
        <v>29</v>
      </c>
      <c r="B124" s="124">
        <f t="shared" si="8"/>
        <v>2038</v>
      </c>
      <c r="C124" s="122">
        <f ca="1">IFERROR(IF(VALUE(RIGHT($B$109,2))&gt;$A124,0,AVERAGEIFS(Elec_On_Peak, 'Avoided AC'!$D:$D, $B124, 'Avoided AC'!$E:$E, "Summer") +
        INDEX(AEPS!$S$8:$S$37, MATCH($A124, 'General Inputs'!$F$3:$F$32, 0)) +
        OFFSET(DRIPE!$I$10, MATCH('LI Output'!$B124, DRIPE!$I$11:$I$30, 0), MATCH('LI Output'!$B$109, DRIPE!$J$10:$N$10, 0), 1, 1) +
        INDEX(Arrearages!C$5:J$24, MATCH($A124, Arrearages!$B$5:$B$24, 0), MATCH('General Inputs'!$C$2, Arrearages!$C$4:$J$4, 0))),"Data Missing")</f>
        <v>107.97700169126259</v>
      </c>
      <c r="D124" s="17">
        <f ca="1">IFERROR(IF(VALUE(RIGHT($B$109,2))&gt;$A124,0,AVERAGEIFS(Elec_Off_Peak, 'Avoided AC'!$D:$D, $B124, 'Avoided AC'!$E:$E, "Summer") +
        INDEX(AEPS!$S$8:$S$37, MATCH($A124, 'General Inputs'!$F$3:$F$32, 0)) +
        OFFSET(DRIPE!$I$10, MATCH('LI Output'!$B124, DRIPE!$I$11:$I$30, 0), MATCH('LI Output'!$B$109, DRIPE!$J$10:$N$10, 0), 1, 1) +
        INDEX(Arrearages!C$5:J$24, MATCH($A124, Arrearages!$B$5:$B$24, 0), MATCH('General Inputs'!$C$2, Arrearages!$C$4:$J$4, 0))),"Data Missing")</f>
        <v>74.758932467007128</v>
      </c>
      <c r="E124" s="17">
        <f ca="1">IFERROR(IF(VALUE(RIGHT($B$109,2))&gt;$A124,0,AVERAGEIFS(Elec_On_Peak, 'Avoided AC'!$D:$D, $B124, 'Avoided AC'!$E:$E, "Winter") +
        INDEX(AEPS!$S$8:$S$37, MATCH($A124, 'General Inputs'!$F$3:$F$32, 0)) +
        OFFSET(DRIPE!$I$10, MATCH('LI Output'!$B124, DRIPE!$I$11:$I$30, 0), MATCH('LI Output'!$B$109, DRIPE!$J$10:$N$10, 0), 1, 1) +
        INDEX(Arrearages!C$5:J$24, MATCH($A124, Arrearages!$B$5:$B$24, 0), MATCH('General Inputs'!$C$2, Arrearages!$C$4:$J$4, 0))),"Data Missing")</f>
        <v>127.0446302183162</v>
      </c>
      <c r="F124" s="17">
        <f ca="1">IFERROR(IF(VALUE(RIGHT($B$109,2))&gt;$A124,0,AVERAGEIFS(Elec_Off_Peak, 'Avoided AC'!$D:$D, $B124, 'Avoided AC'!$E:$E, "Winter") +
        INDEX(AEPS!$S$8:$S$37, MATCH($A124, 'General Inputs'!$F$3:$F$32, 0)) +
        OFFSET(DRIPE!$I$10, MATCH('LI Output'!$B124, DRIPE!$I$11:$I$30, 0), MATCH('LI Output'!$B$109, DRIPE!$J$10:$N$10, 0), 1, 1) +
        INDEX(Arrearages!C$5:J$24, MATCH($A124, Arrearages!$B$5:$B$24, 0), MATCH('General Inputs'!$C$2, Arrearages!$C$4:$J$4, 0))),"Data Missing")</f>
        <v>108.00662185294482</v>
      </c>
      <c r="G124" s="17">
        <f ca="1">IFERROR(IF(VALUE(RIGHT($B$109,2))&gt;$A124,0,AVERAGEIFS(Elec_On_Peak, 'Avoided AC'!$D:$D, $B124, 'Avoided AC'!$E:$E, "Shoulder") +
        INDEX(AEPS!$S$8:$S$37, MATCH($A124, 'General Inputs'!$F$3:$F$32, 0)) +
        OFFSET(DRIPE!$I$10, MATCH('LI Output'!$B124, DRIPE!$I$11:$I$30, 0), MATCH('LI Output'!$B$109, DRIPE!$J$10:$N$10, 0), 1, 1) +
        INDEX(Arrearages!C$5:J$24, MATCH($A124, Arrearages!$B$5:$B$24, 0), MATCH('General Inputs'!$C$2, Arrearages!$C$4:$J$4, 0))),"Data Missing")</f>
        <v>95.566735429649896</v>
      </c>
      <c r="H124" s="17">
        <f ca="1">IFERROR(IF(VALUE(RIGHT($B$109,2))&gt;$A124,0,AVERAGEIFS(Elec_Off_Peak, 'Avoided AC'!$D:$D, $B124, 'Avoided AC'!$E:$E, "Shoulder") +
        INDEX(AEPS!$S$8:$S$37, MATCH($A124, 'General Inputs'!$F$3:$F$32, 0)) +
        OFFSET(DRIPE!$I$10, MATCH('LI Output'!$B124, DRIPE!$I$11:$I$30, 0), MATCH('LI Output'!$B$109, DRIPE!$J$10:$N$10, 0), 1, 1) +
        INDEX(Arrearages!C$5:J$24, MATCH($A124, Arrearages!$B$5:$B$24, 0), MATCH('General Inputs'!$C$2, Arrearages!$C$4:$J$4, 0))),"Data Missing")</f>
        <v>79.206308938173123</v>
      </c>
      <c r="I124" s="17">
        <f ca="1">(IF(VALUE(RIGHT($B$109,2))&gt;$A124,0,INDEX('Generation Capacity'!$E$27:$K$48,MATCH($A124,'Generation Capacity'!$B$27:$B$48,FALSE),MATCH(EDC_NAME,'Generation Capacity'!$E$26:$K$26,FALSE))+
        OFFSET(DRIPE!$B$35,MATCH('LI Output'!$B124,DRIPE!$B$11:$B$30,0),MATCH('LI Output'!$B$109,DRIPE!$C$10:$G$10,0),1,1)))</f>
        <v>31.908402391307927</v>
      </c>
      <c r="J124" s="17">
        <f ca="1">(IF(VALUE(RIGHT($B$109,2))&gt;$A124,0,INDEX('Generation Capacity'!$E$27:$K$48,MATCH($A124,'Generation Capacity'!$B$27:$B$48,FALSE),MATCH(EDC_NAME,'Generation Capacity'!$E$26:$K$26,FALSE))+
        OFFSET(DRIPE!$I$35,MATCH('LI Output'!$B124,DRIPE!$B$11:$B$30,0),MATCH('LI Output'!$B$109,DRIPE!$C$10:$G$10,0),1,1)))</f>
        <v>31.908402391307927</v>
      </c>
      <c r="K124" s="17">
        <f ca="1">IFERROR(IF(VALUE(RIGHT($B$109,2))&gt;$A124,0,INDEX('T&amp;D Capacity'!$E$4:$K$23,MATCH($A124,'T&amp;D Capacity'!$B$4:$B$23,FALSE),MATCH(EDC_NAME,'T&amp;D Capacity'!$E$3:$K$3,FALSE))),0)</f>
        <v>11.062593135637941</v>
      </c>
      <c r="L124" s="17">
        <f ca="1">IFERROR(IF(VALUE(RIGHT($B$109,2))&gt;$A124,0,INDEX('T&amp;D Capacity'!$E$28:$K$47,MATCH($A124,'T&amp;D Capacity'!$B$28:$B$47,FALSE),MATCH(EDC_NAME,'T&amp;D Capacity'!$E$27:$K$27,FALSE))),0)</f>
        <v>11.062593135637941</v>
      </c>
      <c r="M124" s="17">
        <f ca="1">IFERROR(IF(VALUE(RIGHT($B$109,2))&gt;$A124,0,INDEX('T&amp;D Capacity'!$M$4:$S$23,MATCH($A124,'T&amp;D Capacity'!$B$4:$B$23,FALSE),MATCH(EDC_NAME,'T&amp;D Capacity'!$M$3:$S$3,FALSE))),0)</f>
        <v>71.793541608956687</v>
      </c>
      <c r="N124" s="17">
        <f ca="1">IFERROR(IF(VALUE(RIGHT($B$109,2))&gt;$A124,0,INDEX('T&amp;D Capacity'!$M$28:$S$47,MATCH($A124,'T&amp;D Capacity'!$B$28:$B$47,FALSE),MATCH(EDC_NAME,'T&amp;D Capacity'!$M$27:$S$27,FALSE))),0)</f>
        <v>10.410560904443814</v>
      </c>
      <c r="O124" s="18">
        <f>IFERROR(IF(VALUE(RIGHT($B$109,2))&gt;$A124,0,IFERROR(AVERAGEIF('NG Futures'!$E:$E,$B124,'NG Futures'!$I:$I),"Data Missing")),0)</f>
        <v>4.6357120000208072</v>
      </c>
      <c r="P124" s="324"/>
    </row>
    <row r="125" spans="1:16" s="50" customFormat="1" ht="15" customHeight="1" x14ac:dyDescent="0.2">
      <c r="A125" s="124">
        <f t="shared" si="8"/>
        <v>30</v>
      </c>
      <c r="B125" s="124">
        <f t="shared" si="8"/>
        <v>2039</v>
      </c>
      <c r="C125" s="122">
        <f ca="1">IFERROR(IF(VALUE(RIGHT($B$109,2))&gt;$A125,0,AVERAGEIFS(Elec_On_Peak, 'Avoided AC'!$D:$D, $B125, 'Avoided AC'!$E:$E, "Summer") +
        INDEX(AEPS!$S$8:$S$37, MATCH($A125, 'General Inputs'!$F$3:$F$32, 0)) +
        OFFSET(DRIPE!$I$10, MATCH('LI Output'!$B125, DRIPE!$I$11:$I$30, 0), MATCH('LI Output'!$B$109, DRIPE!$J$10:$N$10, 0), 1, 1) +
        INDEX(Arrearages!C$5:J$24, MATCH($A125, Arrearages!$B$5:$B$24, 0), MATCH('General Inputs'!$C$2, Arrearages!$C$4:$J$4, 0))),"Data Missing")</f>
        <v>108.00936567689774</v>
      </c>
      <c r="D125" s="17">
        <f ca="1">IFERROR(IF(VALUE(RIGHT($B$109,2))&gt;$A125,0,AVERAGEIFS(Elec_Off_Peak, 'Avoided AC'!$D:$D, $B125, 'Avoided AC'!$E:$E, "Summer") +
        INDEX(AEPS!$S$8:$S$37, MATCH($A125, 'General Inputs'!$F$3:$F$32, 0)) +
        OFFSET(DRIPE!$I$10, MATCH('LI Output'!$B125, DRIPE!$I$11:$I$30, 0), MATCH('LI Output'!$B$109, DRIPE!$J$10:$N$10, 0), 1, 1) +
        INDEX(Arrearages!C$5:J$24, MATCH($A125, Arrearages!$B$5:$B$24, 0), MATCH('General Inputs'!$C$2, Arrearages!$C$4:$J$4, 0))),"Data Missing")</f>
        <v>74.974653976476645</v>
      </c>
      <c r="E125" s="17">
        <f ca="1">IFERROR(IF(VALUE(RIGHT($B$109,2))&gt;$A125,0,AVERAGEIFS(Elec_On_Peak, 'Avoided AC'!$D:$D, $B125, 'Avoided AC'!$E:$E, "Winter") +
        INDEX(AEPS!$S$8:$S$37, MATCH($A125, 'General Inputs'!$F$3:$F$32, 0)) +
        OFFSET(DRIPE!$I$10, MATCH('LI Output'!$B125, DRIPE!$I$11:$I$30, 0), MATCH('LI Output'!$B$109, DRIPE!$J$10:$N$10, 0), 1, 1) +
        INDEX(Arrearages!C$5:J$24, MATCH($A125, Arrearages!$B$5:$B$24, 0), MATCH('General Inputs'!$C$2, Arrearages!$C$4:$J$4, 0))),"Data Missing")</f>
        <v>126.23290362710769</v>
      </c>
      <c r="F125" s="17">
        <f ca="1">IFERROR(IF(VALUE(RIGHT($B$109,2))&gt;$A125,0,AVERAGEIFS(Elec_Off_Peak, 'Avoided AC'!$D:$D, $B125, 'Avoided AC'!$E:$E, "Winter") +
        INDEX(AEPS!$S$8:$S$37, MATCH($A125, 'General Inputs'!$F$3:$F$32, 0)) +
        OFFSET(DRIPE!$I$10, MATCH('LI Output'!$B125, DRIPE!$I$11:$I$30, 0), MATCH('LI Output'!$B$109, DRIPE!$J$10:$N$10, 0), 1, 1) +
        INDEX(Arrearages!C$5:J$24, MATCH($A125, Arrearages!$B$5:$B$24, 0), MATCH('General Inputs'!$C$2, Arrearages!$C$4:$J$4, 0))),"Data Missing")</f>
        <v>107.64104580831604</v>
      </c>
      <c r="G125" s="17">
        <f ca="1">IFERROR(IF(VALUE(RIGHT($B$109,2))&gt;$A125,0,AVERAGEIFS(Elec_On_Peak, 'Avoided AC'!$D:$D, $B125, 'Avoided AC'!$E:$E, "Shoulder") +
        INDEX(AEPS!$S$8:$S$37, MATCH($A125, 'General Inputs'!$F$3:$F$32, 0)) +
        OFFSET(DRIPE!$I$10, MATCH('LI Output'!$B125, DRIPE!$I$11:$I$30, 0), MATCH('LI Output'!$B$109, DRIPE!$J$10:$N$10, 0), 1, 1) +
        INDEX(Arrearages!C$5:J$24, MATCH($A125, Arrearages!$B$5:$B$24, 0), MATCH('General Inputs'!$C$2, Arrearages!$C$4:$J$4, 0))),"Data Missing")</f>
        <v>95.509661113698854</v>
      </c>
      <c r="H125" s="17">
        <f ca="1">IFERROR(IF(VALUE(RIGHT($B$109,2))&gt;$A125,0,AVERAGEIFS(Elec_Off_Peak, 'Avoided AC'!$D:$D, $B125, 'Avoided AC'!$E:$E, "Shoulder") +
        INDEX(AEPS!$S$8:$S$37, MATCH($A125, 'General Inputs'!$F$3:$F$32, 0)) +
        OFFSET(DRIPE!$I$10, MATCH('LI Output'!$B125, DRIPE!$I$11:$I$30, 0), MATCH('LI Output'!$B$109, DRIPE!$J$10:$N$10, 0), 1, 1) +
        INDEX(Arrearages!C$5:J$24, MATCH($A125, Arrearages!$B$5:$B$24, 0), MATCH('General Inputs'!$C$2, Arrearages!$C$4:$J$4, 0))),"Data Missing")</f>
        <v>79.360437216559362</v>
      </c>
      <c r="I125" s="17">
        <f ca="1">(IF(VALUE(RIGHT($B$109,2))&gt;$A125,0,INDEX('Generation Capacity'!$E$27:$K$48,MATCH($A125,'Generation Capacity'!$B$27:$B$48,FALSE),MATCH(EDC_NAME,'Generation Capacity'!$E$26:$K$26,FALSE))+
        OFFSET(DRIPE!$B$35,MATCH('LI Output'!$B125,DRIPE!$B$11:$B$30,0),MATCH('LI Output'!$B$109,DRIPE!$C$10:$G$10,0),1,1)))</f>
        <v>32.569398785214304</v>
      </c>
      <c r="J125" s="17">
        <f ca="1">(IF(VALUE(RIGHT($B$109,2))&gt;$A125,0,INDEX('Generation Capacity'!$E$27:$K$48,MATCH($A125,'Generation Capacity'!$B$27:$B$48,FALSE),MATCH(EDC_NAME,'Generation Capacity'!$E$26:$K$26,FALSE))+
        OFFSET(DRIPE!$I$35,MATCH('LI Output'!$B125,DRIPE!$B$11:$B$30,0),MATCH('LI Output'!$B$109,DRIPE!$C$10:$G$10,0),1,1)))</f>
        <v>32.569398785214304</v>
      </c>
      <c r="K125" s="17">
        <f ca="1">IFERROR(IF(VALUE(RIGHT($B$109,2))&gt;$A125,0,INDEX('T&amp;D Capacity'!$E$4:$K$23,MATCH($A125,'T&amp;D Capacity'!$B$4:$B$23,FALSE),MATCH(EDC_NAME,'T&amp;D Capacity'!$E$3:$K$3,FALSE))),0)</f>
        <v>11.291759550184038</v>
      </c>
      <c r="L125" s="17">
        <f ca="1">IFERROR(IF(VALUE(RIGHT($B$109,2))&gt;$A125,0,INDEX('T&amp;D Capacity'!$E$28:$K$47,MATCH($A125,'T&amp;D Capacity'!$B$28:$B$47,FALSE),MATCH(EDC_NAME,'T&amp;D Capacity'!$E$27:$K$27,FALSE))),0)</f>
        <v>11.291759550184038</v>
      </c>
      <c r="M125" s="17">
        <f ca="1">IFERROR(IF(VALUE(RIGHT($B$109,2))&gt;$A125,0,INDEX('T&amp;D Capacity'!$M$4:$S$23,MATCH($A125,'T&amp;D Capacity'!$B$4:$B$23,FALSE),MATCH(EDC_NAME,'T&amp;D Capacity'!$M$3:$S$3,FALSE))),0)</f>
        <v>73.280775959561936</v>
      </c>
      <c r="N125" s="17">
        <f ca="1">IFERROR(IF(VALUE(RIGHT($B$109,2))&gt;$A125,0,INDEX('T&amp;D Capacity'!$M$28:$S$47,MATCH($A125,'T&amp;D Capacity'!$B$28:$B$47,FALSE),MATCH(EDC_NAME,'T&amp;D Capacity'!$M$27:$S$27,FALSE))),0)</f>
        <v>10.626220188540552</v>
      </c>
      <c r="O125" s="18">
        <f>IFERROR(IF(VALUE(RIGHT($B$109,2))&gt;$A125,0,IFERROR(AVERAGEIF('NG Futures'!$E:$E,$B125,'NG Futures'!$I:$I),"Data Missing")),0)</f>
        <v>4.5604826844447048</v>
      </c>
      <c r="P125" s="324"/>
    </row>
    <row r="126" spans="1:16" s="50" customFormat="1" ht="15" customHeight="1" x14ac:dyDescent="0.2">
      <c r="A126" s="124">
        <f t="shared" si="8"/>
        <v>31</v>
      </c>
      <c r="B126" s="124">
        <f t="shared" si="8"/>
        <v>2040</v>
      </c>
      <c r="C126" s="122">
        <f ca="1">IFERROR(IF(VALUE(RIGHT($B$109,2))&gt;$A126,0,AVERAGEIFS(Elec_On_Peak, 'Avoided AC'!$D:$D, $B126, 'Avoided AC'!$E:$E, "Summer") +
        INDEX(AEPS!$S$8:$S$37, MATCH($A126, 'General Inputs'!$F$3:$F$32, 0)) +
        OFFSET(DRIPE!$I$10, MATCH('LI Output'!$B126, DRIPE!$I$11:$I$30, 0), MATCH('LI Output'!$B$109, DRIPE!$J$10:$N$10, 0), 1, 1) +
        INDEX(Arrearages!C$5:J$24, MATCH($A126, Arrearages!$B$5:$B$24, 0), MATCH('General Inputs'!$C$2, Arrearages!$C$4:$J$4, 0))),"Data Missing")</f>
        <v>108.89398769395332</v>
      </c>
      <c r="D126" s="17">
        <f ca="1">IFERROR(IF(VALUE(RIGHT($B$109,2))&gt;$A126,0,AVERAGEIFS(Elec_Off_Peak, 'Avoided AC'!$D:$D, $B126, 'Avoided AC'!$E:$E, "Summer") +
        INDEX(AEPS!$S$8:$S$37, MATCH($A126, 'General Inputs'!$F$3:$F$32, 0)) +
        OFFSET(DRIPE!$I$10, MATCH('LI Output'!$B126, DRIPE!$I$11:$I$30, 0), MATCH('LI Output'!$B$109, DRIPE!$J$10:$N$10, 0), 1, 1) +
        INDEX(Arrearages!C$5:J$24, MATCH($A126, Arrearages!$B$5:$B$24, 0), MATCH('General Inputs'!$C$2, Arrearages!$C$4:$J$4, 0))),"Data Missing")</f>
        <v>75.781166368535537</v>
      </c>
      <c r="E126" s="17">
        <f ca="1">IFERROR(IF(VALUE(RIGHT($B$109,2))&gt;$A126,0,AVERAGEIFS(Elec_On_Peak, 'Avoided AC'!$D:$D, $B126, 'Avoided AC'!$E:$E, "Winter") +
        INDEX(AEPS!$S$8:$S$37, MATCH($A126, 'General Inputs'!$F$3:$F$32, 0)) +
        OFFSET(DRIPE!$I$10, MATCH('LI Output'!$B126, DRIPE!$I$11:$I$30, 0), MATCH('LI Output'!$B$109, DRIPE!$J$10:$N$10, 0), 1, 1) +
        INDEX(Arrearages!C$5:J$24, MATCH($A126, Arrearages!$B$5:$B$24, 0), MATCH('General Inputs'!$C$2, Arrearages!$C$4:$J$4, 0))),"Data Missing")</f>
        <v>127.47710509878132</v>
      </c>
      <c r="F126" s="17">
        <f ca="1">IFERROR(IF(VALUE(RIGHT($B$109,2))&gt;$A126,0,AVERAGEIFS(Elec_Off_Peak, 'Avoided AC'!$D:$D, $B126, 'Avoided AC'!$E:$E, "Winter") +
        INDEX(AEPS!$S$8:$S$37, MATCH($A126, 'General Inputs'!$F$3:$F$32, 0)) +
        OFFSET(DRIPE!$I$10, MATCH('LI Output'!$B126, DRIPE!$I$11:$I$30, 0), MATCH('LI Output'!$B$109, DRIPE!$J$10:$N$10, 0), 1, 1) +
        INDEX(Arrearages!C$5:J$24, MATCH($A126, Arrearages!$B$5:$B$24, 0), MATCH('General Inputs'!$C$2, Arrearages!$C$4:$J$4, 0))),"Data Missing")</f>
        <v>108.69518880212277</v>
      </c>
      <c r="G126" s="17">
        <f ca="1">IFERROR(IF(VALUE(RIGHT($B$109,2))&gt;$A126,0,AVERAGEIFS(Elec_On_Peak, 'Avoided AC'!$D:$D, $B126, 'Avoided AC'!$E:$E, "Shoulder") +
        INDEX(AEPS!$S$8:$S$37, MATCH($A126, 'General Inputs'!$F$3:$F$32, 0)) +
        OFFSET(DRIPE!$I$10, MATCH('LI Output'!$B126, DRIPE!$I$11:$I$30, 0), MATCH('LI Output'!$B$109, DRIPE!$J$10:$N$10, 0), 1, 1) +
        INDEX(Arrearages!C$5:J$24, MATCH($A126, Arrearages!$B$5:$B$24, 0), MATCH('General Inputs'!$C$2, Arrearages!$C$4:$J$4, 0))),"Data Missing")</f>
        <v>96.432383515462632</v>
      </c>
      <c r="H126" s="17">
        <f ca="1">IFERROR(IF(VALUE(RIGHT($B$109,2))&gt;$A126,0,AVERAGEIFS(Elec_Off_Peak, 'Avoided AC'!$D:$D, $B126, 'Avoided AC'!$E:$E, "Shoulder") +
        INDEX(AEPS!$S$8:$S$37, MATCH($A126, 'General Inputs'!$F$3:$F$32, 0)) +
        OFFSET(DRIPE!$I$10, MATCH('LI Output'!$B126, DRIPE!$I$11:$I$30, 0), MATCH('LI Output'!$B$109, DRIPE!$J$10:$N$10, 0), 1, 1) +
        INDEX(Arrearages!C$5:J$24, MATCH($A126, Arrearages!$B$5:$B$24, 0), MATCH('General Inputs'!$C$2, Arrearages!$C$4:$J$4, 0))),"Data Missing")</f>
        <v>80.193188096582332</v>
      </c>
      <c r="I126" s="17">
        <f ca="1">(IF(VALUE(RIGHT($B$109,2))&gt;$A126,0,INDEX('Generation Capacity'!$E$27:$K$48,MATCH($A126,'Generation Capacity'!$B$27:$B$48,FALSE),MATCH(EDC_NAME,'Generation Capacity'!$E$26:$K$26,FALSE))+
        OFFSET(DRIPE!$B$35,MATCH('LI Output'!$B126,DRIPE!$B$11:$B$30,0),MATCH('LI Output'!$B$109,DRIPE!$C$10:$G$10,0),1,1)))</f>
        <v>33.244088006088298</v>
      </c>
      <c r="J126" s="17">
        <f ca="1">(IF(VALUE(RIGHT($B$109,2))&gt;$A126,0,INDEX('Generation Capacity'!$E$27:$K$48,MATCH($A126,'Generation Capacity'!$B$27:$B$48,FALSE),MATCH(EDC_NAME,'Generation Capacity'!$E$26:$K$26,FALSE))+
        OFFSET(DRIPE!$I$35,MATCH('LI Output'!$B126,DRIPE!$B$11:$B$30,0),MATCH('LI Output'!$B$109,DRIPE!$C$10:$G$10,0),1,1)))</f>
        <v>33.244088006088298</v>
      </c>
      <c r="K126" s="17">
        <f ca="1">IFERROR(IF(VALUE(RIGHT($B$109,2))&gt;$A126,0,INDEX('T&amp;D Capacity'!$E$4:$K$23,MATCH($A126,'T&amp;D Capacity'!$B$4:$B$23,FALSE),MATCH(EDC_NAME,'T&amp;D Capacity'!$E$3:$K$3,FALSE))),0)</f>
        <v>11.525673246394749</v>
      </c>
      <c r="L126" s="17">
        <f ca="1">IFERROR(IF(VALUE(RIGHT($B$109,2))&gt;$A126,0,INDEX('T&amp;D Capacity'!$E$28:$K$47,MATCH($A126,'T&amp;D Capacity'!$B$28:$B$47,FALSE),MATCH(EDC_NAME,'T&amp;D Capacity'!$E$27:$K$27,FALSE))),0)</f>
        <v>11.525673246394749</v>
      </c>
      <c r="M126" s="17">
        <f ca="1">IFERROR(IF(VALUE(RIGHT($B$109,2))&gt;$A126,0,INDEX('T&amp;D Capacity'!$M$4:$S$23,MATCH($A126,'T&amp;D Capacity'!$B$4:$B$23,FALSE),MATCH(EDC_NAME,'T&amp;D Capacity'!$M$3:$S$3,FALSE))),0)</f>
        <v>74.798819014739365</v>
      </c>
      <c r="N126" s="17">
        <f ca="1">IFERROR(IF(VALUE(RIGHT($B$109,2))&gt;$A126,0,INDEX('T&amp;D Capacity'!$M$28:$S$47,MATCH($A126,'T&amp;D Capacity'!$B$28:$B$47,FALSE),MATCH(EDC_NAME,'T&amp;D Capacity'!$M$27:$S$27,FALSE))),0)</f>
        <v>10.846346948236732</v>
      </c>
      <c r="O126" s="18">
        <f>IFERROR(IF(VALUE(RIGHT($B$109,2))&gt;$A126,0,IFERROR(AVERAGEIF('NG Futures'!$E:$E,$B126,'NG Futures'!$I:$I),"Data Missing")),0)</f>
        <v>4.5925300938202467</v>
      </c>
      <c r="P126" s="324"/>
    </row>
    <row r="127" spans="1:16" s="50" customFormat="1" ht="15" customHeight="1" x14ac:dyDescent="0.2">
      <c r="A127" s="124">
        <f t="shared" si="8"/>
        <v>32</v>
      </c>
      <c r="B127" s="124">
        <f t="shared" si="8"/>
        <v>2041</v>
      </c>
      <c r="C127" s="122">
        <f ca="1">IFERROR(IF(VALUE(RIGHT($B$109,2))&gt;$A127,0,AVERAGEIFS(Elec_On_Peak, 'Avoided AC'!$D:$D, $B127, 'Avoided AC'!$E:$E, "Summer") +
        INDEX(AEPS!$S$8:$S$37, MATCH($A127, 'General Inputs'!$F$3:$F$32, 0)) +
        OFFSET(DRIPE!$I$10, MATCH('LI Output'!$B127, DRIPE!$I$11:$I$30, 0), MATCH('LI Output'!$B$109, DRIPE!$J$10:$N$10, 0), 1, 1) +
        INDEX(Arrearages!C$5:J$24, MATCH($A127, Arrearages!$B$5:$B$24, 0), MATCH('General Inputs'!$C$2, Arrearages!$C$4:$J$4, 0))),"Data Missing")</f>
        <v>110.68050739041985</v>
      </c>
      <c r="D127" s="17">
        <f ca="1">IFERROR(IF(VALUE(RIGHT($B$109,2))&gt;$A127,0,AVERAGEIFS(Elec_Off_Peak, 'Avoided AC'!$D:$D, $B127, 'Avoided AC'!$E:$E, "Summer") +
        INDEX(AEPS!$S$8:$S$37, MATCH($A127, 'General Inputs'!$F$3:$F$32, 0)) +
        OFFSET(DRIPE!$I$10, MATCH('LI Output'!$B127, DRIPE!$I$11:$I$30, 0), MATCH('LI Output'!$B$109, DRIPE!$J$10:$N$10, 0), 1, 1) +
        INDEX(Arrearages!C$5:J$24, MATCH($A127, Arrearages!$B$5:$B$24, 0), MATCH('General Inputs'!$C$2, Arrearages!$C$4:$J$4, 0))),"Data Missing")</f>
        <v>77.212732217499507</v>
      </c>
      <c r="E127" s="17">
        <f ca="1">IFERROR(IF(VALUE(RIGHT($B$109,2))&gt;$A127,0,AVERAGEIFS(Elec_On_Peak, 'Avoided AC'!$D:$D, $B127, 'Avoided AC'!$E:$E, "Winter") +
        INDEX(AEPS!$S$8:$S$37, MATCH($A127, 'General Inputs'!$F$3:$F$32, 0)) +
        OFFSET(DRIPE!$I$10, MATCH('LI Output'!$B127, DRIPE!$I$11:$I$30, 0), MATCH('LI Output'!$B$109, DRIPE!$J$10:$N$10, 0), 1, 1) +
        INDEX(Arrearages!C$5:J$24, MATCH($A127, Arrearages!$B$5:$B$24, 0), MATCH('General Inputs'!$C$2, Arrearages!$C$4:$J$4, 0))),"Data Missing")</f>
        <v>130.89766299354926</v>
      </c>
      <c r="F127" s="17">
        <f ca="1">IFERROR(IF(VALUE(RIGHT($B$109,2))&gt;$A127,0,AVERAGEIFS(Elec_Off_Peak, 'Avoided AC'!$D:$D, $B127, 'Avoided AC'!$E:$E, "Winter") +
        INDEX(AEPS!$S$8:$S$37, MATCH($A127, 'General Inputs'!$F$3:$F$32, 0)) +
        OFFSET(DRIPE!$I$10, MATCH('LI Output'!$B127, DRIPE!$I$11:$I$30, 0), MATCH('LI Output'!$B$109, DRIPE!$J$10:$N$10, 0), 1, 1) +
        INDEX(Arrearages!C$5:J$24, MATCH($A127, Arrearages!$B$5:$B$24, 0), MATCH('General Inputs'!$C$2, Arrearages!$C$4:$J$4, 0))),"Data Missing")</f>
        <v>111.2520632779496</v>
      </c>
      <c r="G127" s="17">
        <f ca="1">IFERROR(IF(VALUE(RIGHT($B$109,2))&gt;$A127,0,AVERAGEIFS(Elec_On_Peak, 'Avoided AC'!$D:$D, $B127, 'Avoided AC'!$E:$E, "Shoulder") +
        INDEX(AEPS!$S$8:$S$37, MATCH($A127, 'General Inputs'!$F$3:$F$32, 0)) +
        OFFSET(DRIPE!$I$10, MATCH('LI Output'!$B127, DRIPE!$I$11:$I$30, 0), MATCH('LI Output'!$B$109, DRIPE!$J$10:$N$10, 0), 1, 1) +
        INDEX(Arrearages!C$5:J$24, MATCH($A127, Arrearages!$B$5:$B$24, 0), MATCH('General Inputs'!$C$2, Arrearages!$C$4:$J$4, 0))),"Data Missing")</f>
        <v>98.392042926069223</v>
      </c>
      <c r="H127" s="17">
        <f ca="1">IFERROR(IF(VALUE(RIGHT($B$109,2))&gt;$A127,0,AVERAGEIFS(Elec_Off_Peak, 'Avoided AC'!$D:$D, $B127, 'Avoided AC'!$E:$E, "Shoulder") +
        INDEX(AEPS!$S$8:$S$37, MATCH($A127, 'General Inputs'!$F$3:$F$32, 0)) +
        OFFSET(DRIPE!$I$10, MATCH('LI Output'!$B127, DRIPE!$I$11:$I$30, 0), MATCH('LI Output'!$B$109, DRIPE!$J$10:$N$10, 0), 1, 1) +
        INDEX(Arrearages!C$5:J$24, MATCH($A127, Arrearages!$B$5:$B$24, 0), MATCH('General Inputs'!$C$2, Arrearages!$C$4:$J$4, 0))),"Data Missing")</f>
        <v>81.7439895999985</v>
      </c>
      <c r="I127" s="17">
        <f ca="1">(IF(VALUE(RIGHT($B$109,2))&gt;$A127,0,INDEX('Generation Capacity'!$E$27:$K$48,MATCH($A127,'Generation Capacity'!$B$27:$B$48,FALSE),MATCH(EDC_NAME,'Generation Capacity'!$E$26:$K$26,FALSE))+
        OFFSET(DRIPE!$B$35,MATCH('LI Output'!$B127,DRIPE!$B$11:$B$30,0),MATCH('LI Output'!$B$109,DRIPE!$C$10:$G$10,0),1,1)))</f>
        <v>33.932753706778989</v>
      </c>
      <c r="J127" s="17">
        <f ca="1">(IF(VALUE(RIGHT($B$109,2))&gt;$A127,0,INDEX('Generation Capacity'!$E$27:$K$48,MATCH($A127,'Generation Capacity'!$B$27:$B$48,FALSE),MATCH(EDC_NAME,'Generation Capacity'!$E$26:$K$26,FALSE))+
        OFFSET(DRIPE!$I$35,MATCH('LI Output'!$B127,DRIPE!$B$11:$B$30,0),MATCH('LI Output'!$B$109,DRIPE!$C$10:$G$10,0),1,1)))</f>
        <v>33.932753706778989</v>
      </c>
      <c r="K127" s="17">
        <f ca="1">IFERROR(IF(VALUE(RIGHT($B$109,2))&gt;$A127,0,INDEX('T&amp;D Capacity'!$E$4:$K$23,MATCH($A127,'T&amp;D Capacity'!$B$4:$B$23,FALSE),MATCH(EDC_NAME,'T&amp;D Capacity'!$E$3:$K$3,FALSE))),0)</f>
        <v>11.76443256626861</v>
      </c>
      <c r="L127" s="17">
        <f ca="1">IFERROR(IF(VALUE(RIGHT($B$109,2))&gt;$A127,0,INDEX('T&amp;D Capacity'!$E$28:$K$47,MATCH($A127,'T&amp;D Capacity'!$B$28:$B$47,FALSE),MATCH(EDC_NAME,'T&amp;D Capacity'!$E$27:$K$27,FALSE))),0)</f>
        <v>11.76443256626861</v>
      </c>
      <c r="M127" s="17">
        <f ca="1">IFERROR(IF(VALUE(RIGHT($B$109,2))&gt;$A127,0,INDEX('T&amp;D Capacity'!$M$4:$S$23,MATCH($A127,'T&amp;D Capacity'!$B$4:$B$23,FALSE),MATCH(EDC_NAME,'T&amp;D Capacity'!$M$3:$S$3,FALSE))),0)</f>
        <v>76.34830899016562</v>
      </c>
      <c r="N127" s="17">
        <f ca="1">IFERROR(IF(VALUE(RIGHT($B$109,2))&gt;$A127,0,INDEX('T&amp;D Capacity'!$M$28:$S$47,MATCH($A127,'T&amp;D Capacity'!$B$28:$B$47,FALSE),MATCH(EDC_NAME,'T&amp;D Capacity'!$M$27:$S$27,FALSE))),0)</f>
        <v>11.071033729226899</v>
      </c>
      <c r="O127" s="18">
        <f>IFERROR(IF(VALUE(RIGHT($B$109,2))&gt;$A127,0,IFERROR(AVERAGEIF('NG Futures'!$E:$E,$B127,'NG Futures'!$I:$I),"Data Missing")),0)</f>
        <v>4.7381632505640319</v>
      </c>
      <c r="P127" s="324"/>
    </row>
    <row r="128" spans="1:16" s="50" customFormat="1" ht="15" customHeight="1" x14ac:dyDescent="0.2">
      <c r="A128" s="124">
        <f t="shared" si="8"/>
        <v>33</v>
      </c>
      <c r="B128" s="124">
        <f t="shared" si="8"/>
        <v>2042</v>
      </c>
      <c r="C128" s="122">
        <f ca="1">IFERROR(IF(VALUE(RIGHT($B$109,2))&gt;$A128,0,AVERAGEIFS(Elec_On_Peak, 'Avoided AC'!$D:$D, $B128, 'Avoided AC'!$E:$E, "Summer") +
        INDEX(AEPS!$S$8:$S$37, MATCH($A128, 'General Inputs'!$F$3:$F$32, 0)) +
        OFFSET(DRIPE!$I$10, MATCH('LI Output'!$B128, DRIPE!$I$11:$I$30, 0), MATCH('LI Output'!$B$109, DRIPE!$J$10:$N$10, 0), 1, 1) +
        INDEX(Arrearages!C$5:J$24, MATCH($A128, Arrearages!$B$5:$B$24, 0), MATCH('General Inputs'!$C$2, Arrearages!$C$4:$J$4, 0))),"Data Missing")</f>
        <v>112.61371129665545</v>
      </c>
      <c r="D128" s="17">
        <f ca="1">IFERROR(IF(VALUE(RIGHT($B$109,2))&gt;$A128,0,AVERAGEIFS(Elec_Off_Peak, 'Avoided AC'!$D:$D, $B128, 'Avoided AC'!$E:$E, "Summer") +
        INDEX(AEPS!$S$8:$S$37, MATCH($A128, 'General Inputs'!$F$3:$F$32, 0)) +
        OFFSET(DRIPE!$I$10, MATCH('LI Output'!$B128, DRIPE!$I$11:$I$30, 0), MATCH('LI Output'!$B$109, DRIPE!$J$10:$N$10, 0), 1, 1) +
        INDEX(Arrearages!C$5:J$24, MATCH($A128, Arrearages!$B$5:$B$24, 0), MATCH('General Inputs'!$C$2, Arrearages!$C$4:$J$4, 0))),"Data Missing")</f>
        <v>78.749339645012867</v>
      </c>
      <c r="E128" s="17">
        <f ca="1">IFERROR(IF(VALUE(RIGHT($B$109,2))&gt;$A128,0,AVERAGEIFS(Elec_On_Peak, 'Avoided AC'!$D:$D, $B128, 'Avoided AC'!$E:$E, "Winter") +
        INDEX(AEPS!$S$8:$S$37, MATCH($A128, 'General Inputs'!$F$3:$F$32, 0)) +
        OFFSET(DRIPE!$I$10, MATCH('LI Output'!$B128, DRIPE!$I$11:$I$30, 0), MATCH('LI Output'!$B$109, DRIPE!$J$10:$N$10, 0), 1, 1) +
        INDEX(Arrearages!C$5:J$24, MATCH($A128, Arrearages!$B$5:$B$24, 0), MATCH('General Inputs'!$C$2, Arrearages!$C$4:$J$4, 0))),"Data Missing")</f>
        <v>134.65660790837964</v>
      </c>
      <c r="F128" s="17">
        <f ca="1">IFERROR(IF(VALUE(RIGHT($B$109,2))&gt;$A128,0,AVERAGEIFS(Elec_Off_Peak, 'Avoided AC'!$D:$D, $B128, 'Avoided AC'!$E:$E, "Winter") +
        INDEX(AEPS!$S$8:$S$37, MATCH($A128, 'General Inputs'!$F$3:$F$32, 0)) +
        OFFSET(DRIPE!$I$10, MATCH('LI Output'!$B128, DRIPE!$I$11:$I$30, 0), MATCH('LI Output'!$B$109, DRIPE!$J$10:$N$10, 0), 1, 1) +
        INDEX(Arrearages!C$5:J$24, MATCH($A128, Arrearages!$B$5:$B$24, 0), MATCH('General Inputs'!$C$2, Arrearages!$C$4:$J$4, 0))),"Data Missing")</f>
        <v>114.04599878354874</v>
      </c>
      <c r="G128" s="17">
        <f ca="1">IFERROR(IF(VALUE(RIGHT($B$109,2))&gt;$A128,0,AVERAGEIFS(Elec_On_Peak, 'Avoided AC'!$D:$D, $B128, 'Avoided AC'!$E:$E, "Shoulder") +
        INDEX(AEPS!$S$8:$S$37, MATCH($A128, 'General Inputs'!$F$3:$F$32, 0)) +
        OFFSET(DRIPE!$I$10, MATCH('LI Output'!$B128, DRIPE!$I$11:$I$30, 0), MATCH('LI Output'!$B$109, DRIPE!$J$10:$N$10, 0), 1, 1) +
        INDEX(Arrearages!C$5:J$24, MATCH($A128, Arrearages!$B$5:$B$24, 0), MATCH('General Inputs'!$C$2, Arrearages!$C$4:$J$4, 0))),"Data Missing")</f>
        <v>100.51869902739462</v>
      </c>
      <c r="H128" s="17">
        <f ca="1">IFERROR(IF(VALUE(RIGHT($B$109,2))&gt;$A128,0,AVERAGEIFS(Elec_Off_Peak, 'Avoided AC'!$D:$D, $B128, 'Avoided AC'!$E:$E, "Shoulder") +
        INDEX(AEPS!$S$8:$S$37, MATCH($A128, 'General Inputs'!$F$3:$F$32, 0)) +
        OFFSET(DRIPE!$I$10, MATCH('LI Output'!$B128, DRIPE!$I$11:$I$30, 0), MATCH('LI Output'!$B$109, DRIPE!$J$10:$N$10, 0), 1, 1) +
        INDEX(Arrearages!C$5:J$24, MATCH($A128, Arrearages!$B$5:$B$24, 0), MATCH('General Inputs'!$C$2, Arrearages!$C$4:$J$4, 0))),"Data Missing")</f>
        <v>83.413821222788556</v>
      </c>
      <c r="I128" s="17">
        <f ca="1">(IF(VALUE(RIGHT($B$109,2))&gt;$A128,0,INDEX('Generation Capacity'!$E$27:$K$48,MATCH($A128,'Generation Capacity'!$B$27:$B$48,FALSE),MATCH(EDC_NAME,'Generation Capacity'!$E$26:$K$26,FALSE))+
        OFFSET(DRIPE!$B$35,MATCH('LI Output'!$B128,DRIPE!$B$11:$B$30,0),MATCH('LI Output'!$B$109,DRIPE!$C$10:$G$10,0),1,1)))</f>
        <v>34.635685416127252</v>
      </c>
      <c r="J128" s="17">
        <f ca="1">(IF(VALUE(RIGHT($B$109,2))&gt;$A128,0,INDEX('Generation Capacity'!$E$27:$K$48,MATCH($A128,'Generation Capacity'!$B$27:$B$48,FALSE),MATCH(EDC_NAME,'Generation Capacity'!$E$26:$K$26,FALSE))+
        OFFSET(DRIPE!$I$35,MATCH('LI Output'!$B128,DRIPE!$B$11:$B$30,0),MATCH('LI Output'!$B$109,DRIPE!$C$10:$G$10,0),1,1)))</f>
        <v>34.635685416127252</v>
      </c>
      <c r="K128" s="17">
        <f ca="1">IFERROR(IF(VALUE(RIGHT($B$109,2))&gt;$A128,0,INDEX('T&amp;D Capacity'!$E$4:$K$23,MATCH($A128,'T&amp;D Capacity'!$B$4:$B$23,FALSE),MATCH(EDC_NAME,'T&amp;D Capacity'!$E$3:$K$3,FALSE))),0)</f>
        <v>12.008137889001302</v>
      </c>
      <c r="L128" s="17">
        <f ca="1">IFERROR(IF(VALUE(RIGHT($B$109,2))&gt;$A128,0,INDEX('T&amp;D Capacity'!$E$28:$K$47,MATCH($A128,'T&amp;D Capacity'!$B$28:$B$47,FALSE),MATCH(EDC_NAME,'T&amp;D Capacity'!$E$27:$K$27,FALSE))),0)</f>
        <v>12.008137889001302</v>
      </c>
      <c r="M128" s="17">
        <f ca="1">IFERROR(IF(VALUE(RIGHT($B$109,2))&gt;$A128,0,INDEX('T&amp;D Capacity'!$M$4:$S$23,MATCH($A128,'T&amp;D Capacity'!$B$4:$B$23,FALSE),MATCH(EDC_NAME,'T&amp;D Capacity'!$M$3:$S$3,FALSE))),0)</f>
        <v>77.929897322431884</v>
      </c>
      <c r="N128" s="17">
        <f ca="1">IFERROR(IF(VALUE(RIGHT($B$109,2))&gt;$A128,0,INDEX('T&amp;D Capacity'!$M$28:$S$47,MATCH($A128,'T&amp;D Capacity'!$B$28:$B$47,FALSE),MATCH(EDC_NAME,'T&amp;D Capacity'!$M$27:$S$27,FALSE))),0)</f>
        <v>11.300374994329797</v>
      </c>
      <c r="O128" s="18">
        <f>IFERROR(IF(VALUE(RIGHT($B$109,2))&gt;$A128,0,IFERROR(AVERAGEIF('NG Futures'!$E:$E,$B128,'NG Futures'!$I:$I),"Data Missing")),0)</f>
        <v>4.9008818618881964</v>
      </c>
      <c r="P128" s="324"/>
    </row>
    <row r="129" spans="1:16" s="50" customFormat="1" ht="15" customHeight="1" x14ac:dyDescent="0.2">
      <c r="A129" s="124">
        <f t="shared" si="8"/>
        <v>34</v>
      </c>
      <c r="B129" s="124">
        <f t="shared" si="8"/>
        <v>2043</v>
      </c>
      <c r="C129" s="122">
        <f ca="1">IFERROR(IF(VALUE(RIGHT($B$109,2))&gt;$A129,0,AVERAGEIFS(Elec_On_Peak, 'Avoided AC'!$D:$D, $B129, 'Avoided AC'!$E:$E, "Summer") +
        INDEX(AEPS!$S$8:$S$37, MATCH($A129, 'General Inputs'!$F$3:$F$32, 0)) +
        OFFSET(DRIPE!$I$10, MATCH('LI Output'!$B129, DRIPE!$I$11:$I$30, 0), MATCH('LI Output'!$B$109, DRIPE!$J$10:$N$10, 0), 1, 1) +
        INDEX(Arrearages!C$5:J$24, MATCH($A129, Arrearages!$B$5:$B$24, 0), MATCH('General Inputs'!$C$2, Arrearages!$C$4:$J$4, 0))),"Data Missing")</f>
        <v>114.59786857394181</v>
      </c>
      <c r="D129" s="17">
        <f ca="1">IFERROR(IF(VALUE(RIGHT($B$109,2))&gt;$A129,0,AVERAGEIFS(Elec_Off_Peak, 'Avoided AC'!$D:$D, $B129, 'Avoided AC'!$E:$E, "Summer") +
        INDEX(AEPS!$S$8:$S$37, MATCH($A129, 'General Inputs'!$F$3:$F$32, 0)) +
        OFFSET(DRIPE!$I$10, MATCH('LI Output'!$B129, DRIPE!$I$11:$I$30, 0), MATCH('LI Output'!$B$109, DRIPE!$J$10:$N$10, 0), 1, 1) +
        INDEX(Arrearages!C$5:J$24, MATCH($A129, Arrearages!$B$5:$B$24, 0), MATCH('General Inputs'!$C$2, Arrearages!$C$4:$J$4, 0))),"Data Missing")</f>
        <v>80.325142454899378</v>
      </c>
      <c r="E129" s="17">
        <f ca="1">IFERROR(IF(VALUE(RIGHT($B$109,2))&gt;$A129,0,AVERAGEIFS(Elec_On_Peak, 'Avoided AC'!$D:$D, $B129, 'Avoided AC'!$E:$E, "Winter") +
        INDEX(AEPS!$S$8:$S$37, MATCH($A129, 'General Inputs'!$F$3:$F$32, 0)) +
        OFFSET(DRIPE!$I$10, MATCH('LI Output'!$B129, DRIPE!$I$11:$I$30, 0), MATCH('LI Output'!$B$109, DRIPE!$J$10:$N$10, 0), 1, 1) +
        INDEX(Arrearages!C$5:J$24, MATCH($A129, Arrearages!$B$5:$B$24, 0), MATCH('General Inputs'!$C$2, Arrearages!$C$4:$J$4, 0))),"Data Missing")</f>
        <v>138.52063436548531</v>
      </c>
      <c r="F129" s="17">
        <f ca="1">IFERROR(IF(VALUE(RIGHT($B$109,2))&gt;$A129,0,AVERAGEIFS(Elec_Off_Peak, 'Avoided AC'!$D:$D, $B129, 'Avoided AC'!$E:$E, "Winter") +
        INDEX(AEPS!$S$8:$S$37, MATCH($A129, 'General Inputs'!$F$3:$F$32, 0)) +
        OFFSET(DRIPE!$I$10, MATCH('LI Output'!$B129, DRIPE!$I$11:$I$30, 0), MATCH('LI Output'!$B$109, DRIPE!$J$10:$N$10, 0), 1, 1) +
        INDEX(Arrearages!C$5:J$24, MATCH($A129, Arrearages!$B$5:$B$24, 0), MATCH('General Inputs'!$C$2, Arrearages!$C$4:$J$4, 0))),"Data Missing")</f>
        <v>116.91640597148668</v>
      </c>
      <c r="G129" s="17">
        <f ca="1">IFERROR(IF(VALUE(RIGHT($B$109,2))&gt;$A129,0,AVERAGEIFS(Elec_On_Peak, 'Avoided AC'!$D:$D, $B129, 'Avoided AC'!$E:$E, "Shoulder") +
        INDEX(AEPS!$S$8:$S$37, MATCH($A129, 'General Inputs'!$F$3:$F$32, 0)) +
        OFFSET(DRIPE!$I$10, MATCH('LI Output'!$B129, DRIPE!$I$11:$I$30, 0), MATCH('LI Output'!$B$109, DRIPE!$J$10:$N$10, 0), 1, 1) +
        INDEX(Arrearages!C$5:J$24, MATCH($A129, Arrearages!$B$5:$B$24, 0), MATCH('General Inputs'!$C$2, Arrearages!$C$4:$J$4, 0))),"Data Missing")</f>
        <v>102.70204382230017</v>
      </c>
      <c r="H129" s="17">
        <f ca="1">IFERROR(IF(VALUE(RIGHT($B$109,2))&gt;$A129,0,AVERAGEIFS(Elec_Off_Peak, 'Avoided AC'!$D:$D, $B129, 'Avoided AC'!$E:$E, "Shoulder") +
        INDEX(AEPS!$S$8:$S$37, MATCH($A129, 'General Inputs'!$F$3:$F$32, 0)) +
        OFFSET(DRIPE!$I$10, MATCH('LI Output'!$B129, DRIPE!$I$11:$I$30, 0), MATCH('LI Output'!$B$109, DRIPE!$J$10:$N$10, 0), 1, 1) +
        INDEX(Arrearages!C$5:J$24, MATCH($A129, Arrearages!$B$5:$B$24, 0), MATCH('General Inputs'!$C$2, Arrearages!$C$4:$J$4, 0))),"Data Missing")</f>
        <v>85.126797956866881</v>
      </c>
      <c r="I129" s="17">
        <f ca="1">(IF(VALUE(RIGHT($B$109,2))&gt;$A129,0,INDEX('Generation Capacity'!$E$27:$K$48,MATCH($A129,'Generation Capacity'!$B$27:$B$48,FALSE),MATCH(EDC_NAME,'Generation Capacity'!$E$26:$K$26,FALSE))+
        OFFSET(DRIPE!$B$35,MATCH('LI Output'!$B129,DRIPE!$B$11:$B$30,0),MATCH('LI Output'!$B$109,DRIPE!$C$10:$G$10,0),1,1)))</f>
        <v>35.353178660689451</v>
      </c>
      <c r="J129" s="17">
        <f ca="1">(IF(VALUE(RIGHT($B$109,2))&gt;$A129,0,INDEX('Generation Capacity'!$E$27:$K$48,MATCH($A129,'Generation Capacity'!$B$27:$B$48,FALSE),MATCH(EDC_NAME,'Generation Capacity'!$E$26:$K$26,FALSE))+
        OFFSET(DRIPE!$I$35,MATCH('LI Output'!$B129,DRIPE!$B$11:$B$30,0),MATCH('LI Output'!$B$109,DRIPE!$C$10:$G$10,0),1,1)))</f>
        <v>35.353178660689451</v>
      </c>
      <c r="K129" s="17">
        <f ca="1">IFERROR(IF(VALUE(RIGHT($B$109,2))&gt;$A129,0,INDEX('T&amp;D Capacity'!$E$4:$K$23,MATCH($A129,'T&amp;D Capacity'!$B$4:$B$23,FALSE),MATCH(EDC_NAME,'T&amp;D Capacity'!$E$3:$K$3,FALSE))),0)</f>
        <v>12.256891673187081</v>
      </c>
      <c r="L129" s="17">
        <f ca="1">IFERROR(IF(VALUE(RIGHT($B$109,2))&gt;$A129,0,INDEX('T&amp;D Capacity'!$E$28:$K$47,MATCH($A129,'T&amp;D Capacity'!$B$28:$B$47,FALSE),MATCH(EDC_NAME,'T&amp;D Capacity'!$E$27:$K$27,FALSE))),0)</f>
        <v>12.256891673187081</v>
      </c>
      <c r="M129" s="17">
        <f ca="1">IFERROR(IF(VALUE(RIGHT($B$109,2))&gt;$A129,0,INDEX('T&amp;D Capacity'!$M$4:$S$23,MATCH($A129,'T&amp;D Capacity'!$B$4:$B$23,FALSE),MATCH(EDC_NAME,'T&amp;D Capacity'!$M$3:$S$3,FALSE))),0)</f>
        <v>79.544248942920845</v>
      </c>
      <c r="N129" s="17">
        <f ca="1">IFERROR(IF(VALUE(RIGHT($B$109,2))&gt;$A129,0,INDEX('T&amp;D Capacity'!$M$28:$S$47,MATCH($A129,'T&amp;D Capacity'!$B$28:$B$47,FALSE),MATCH(EDC_NAME,'T&amp;D Capacity'!$M$27:$S$27,FALSE))),0)</f>
        <v>11.534467163202425</v>
      </c>
      <c r="O129" s="18">
        <f>IFERROR(IF(VALUE(RIGHT($B$109,2))&gt;$A129,0,IFERROR(AVERAGEIF('NG Futures'!$E:$E,$B129,'NG Futures'!$I:$I),"Data Missing")),0)</f>
        <v>5.0684246299869011</v>
      </c>
      <c r="P129" s="324"/>
    </row>
    <row r="130" spans="1:16" s="50" customFormat="1" ht="15" customHeight="1" x14ac:dyDescent="0.2">
      <c r="A130" s="124">
        <f t="shared" si="8"/>
        <v>35</v>
      </c>
      <c r="B130" s="124">
        <f t="shared" si="8"/>
        <v>2044</v>
      </c>
      <c r="C130" s="122">
        <f ca="1">IFERROR(IF(VALUE(RIGHT($B$109,2))&gt;$A130,0,AVERAGEIFS(Elec_On_Peak, 'Avoided AC'!$D:$D, $B130, 'Avoided AC'!$E:$E, "Summer") +
        INDEX(AEPS!$S$8:$S$37, MATCH($A130, 'General Inputs'!$F$3:$F$32, 0)) +
        OFFSET(DRIPE!$I$10, MATCH('LI Output'!$B130, DRIPE!$I$11:$I$30, 0), MATCH('LI Output'!$B$109, DRIPE!$J$10:$N$10, 0), 1, 1) +
        INDEX(Arrearages!C$5:J$24, MATCH($A130, Arrearages!$B$5:$B$24, 0), MATCH('General Inputs'!$C$2, Arrearages!$C$4:$J$4, 0))),"Data Missing")</f>
        <v>116.1160415787043</v>
      </c>
      <c r="D130" s="17">
        <f ca="1">IFERROR(IF(VALUE(RIGHT($B$109,2))&gt;$A130,0,AVERAGEIFS(Elec_Off_Peak, 'Avoided AC'!$D:$D, $B130, 'Avoided AC'!$E:$E, "Summer") +
        INDEX(AEPS!$S$8:$S$37, MATCH($A130, 'General Inputs'!$F$3:$F$32, 0)) +
        OFFSET(DRIPE!$I$10, MATCH('LI Output'!$B130, DRIPE!$I$11:$I$30, 0), MATCH('LI Output'!$B$109, DRIPE!$J$10:$N$10, 0), 1, 1) +
        INDEX(Arrearages!C$5:J$24, MATCH($A130, Arrearages!$B$5:$B$24, 0), MATCH('General Inputs'!$C$2, Arrearages!$C$4:$J$4, 0))),"Data Missing")</f>
        <v>81.584224720108111</v>
      </c>
      <c r="E130" s="17">
        <f ca="1">IFERROR(IF(VALUE(RIGHT($B$109,2))&gt;$A130,0,AVERAGEIFS(Elec_On_Peak, 'Avoided AC'!$D:$D, $B130, 'Avoided AC'!$E:$E, "Winter") +
        INDEX(AEPS!$S$8:$S$37, MATCH($A130, 'General Inputs'!$F$3:$F$32, 0)) +
        OFFSET(DRIPE!$I$10, MATCH('LI Output'!$B130, DRIPE!$I$11:$I$30, 0), MATCH('LI Output'!$B$109, DRIPE!$J$10:$N$10, 0), 1, 1) +
        INDEX(Arrearages!C$5:J$24, MATCH($A130, Arrearages!$B$5:$B$24, 0), MATCH('General Inputs'!$C$2, Arrearages!$C$4:$J$4, 0))),"Data Missing")</f>
        <v>141.23153754696145</v>
      </c>
      <c r="F130" s="17">
        <f ca="1">IFERROR(IF(VALUE(RIGHT($B$109,2))&gt;$A130,0,AVERAGEIFS(Elec_Off_Peak, 'Avoided AC'!$D:$D, $B130, 'Avoided AC'!$E:$E, "Winter") +
        INDEX(AEPS!$S$8:$S$37, MATCH($A130, 'General Inputs'!$F$3:$F$32, 0)) +
        OFFSET(DRIPE!$I$10, MATCH('LI Output'!$B130, DRIPE!$I$11:$I$30, 0), MATCH('LI Output'!$B$109, DRIPE!$J$10:$N$10, 0), 1, 1) +
        INDEX(Arrearages!C$5:J$24, MATCH($A130, Arrearages!$B$5:$B$24, 0), MATCH('General Inputs'!$C$2, Arrearages!$C$4:$J$4, 0))),"Data Missing")</f>
        <v>118.99688247262625</v>
      </c>
      <c r="G130" s="17">
        <f ca="1">IFERROR(IF(VALUE(RIGHT($B$109,2))&gt;$A130,0,AVERAGEIFS(Elec_On_Peak, 'Avoided AC'!$D:$D, $B130, 'Avoided AC'!$E:$E, "Shoulder") +
        INDEX(AEPS!$S$8:$S$37, MATCH($A130, 'General Inputs'!$F$3:$F$32, 0)) +
        OFFSET(DRIPE!$I$10, MATCH('LI Output'!$B130, DRIPE!$I$11:$I$30, 0), MATCH('LI Output'!$B$109, DRIPE!$J$10:$N$10, 0), 1, 1) +
        INDEX(Arrearages!C$5:J$24, MATCH($A130, Arrearages!$B$5:$B$24, 0), MATCH('General Inputs'!$C$2, Arrearages!$C$4:$J$4, 0))),"Data Missing")</f>
        <v>104.34659634625449</v>
      </c>
      <c r="H130" s="17">
        <f ca="1">IFERROR(IF(VALUE(RIGHT($B$109,2))&gt;$A130,0,AVERAGEIFS(Elec_Off_Peak, 'Avoided AC'!$D:$D, $B130, 'Avoided AC'!$E:$E, "Shoulder") +
        INDEX(AEPS!$S$8:$S$37, MATCH($A130, 'General Inputs'!$F$3:$F$32, 0)) +
        OFFSET(DRIPE!$I$10, MATCH('LI Output'!$B130, DRIPE!$I$11:$I$30, 0), MATCH('LI Output'!$B$109, DRIPE!$J$10:$N$10, 0), 1, 1) +
        INDEX(Arrearages!C$5:J$24, MATCH($A130, Arrearages!$B$5:$B$24, 0), MATCH('General Inputs'!$C$2, Arrearages!$C$4:$J$4, 0))),"Data Missing")</f>
        <v>86.472913660677719</v>
      </c>
      <c r="I130" s="17">
        <f ca="1">(IF(VALUE(RIGHT($B$109,2))&gt;$A130,0,INDEX('Generation Capacity'!$E$27:$K$48,MATCH($A130,'Generation Capacity'!$B$27:$B$48,FALSE),MATCH(EDC_NAME,'Generation Capacity'!$E$26:$K$26,FALSE))+
        OFFSET(DRIPE!$B$35,MATCH('LI Output'!$B130,DRIPE!$B$11:$B$30,0),MATCH('LI Output'!$B$109,DRIPE!$C$10:$G$10,0),1,1)))</f>
        <v>36.085535088982752</v>
      </c>
      <c r="J130" s="17">
        <f ca="1">(IF(VALUE(RIGHT($B$109,2))&gt;$A130,0,INDEX('Generation Capacity'!$E$27:$K$48,MATCH($A130,'Generation Capacity'!$B$27:$B$48,FALSE),MATCH(EDC_NAME,'Generation Capacity'!$E$26:$K$26,FALSE))+
        OFFSET(DRIPE!$I$35,MATCH('LI Output'!$B130,DRIPE!$B$11:$B$30,0),MATCH('LI Output'!$B$109,DRIPE!$C$10:$G$10,0),1,1)))</f>
        <v>36.085535088982752</v>
      </c>
      <c r="K130" s="17">
        <f ca="1">IFERROR(IF(VALUE(RIGHT($B$109,2))&gt;$A130,0,INDEX('T&amp;D Capacity'!$E$4:$K$23,MATCH($A130,'T&amp;D Capacity'!$B$4:$B$23,FALSE),MATCH(EDC_NAME,'T&amp;D Capacity'!$E$3:$K$3,FALSE))),0)</f>
        <v>12.510798499894417</v>
      </c>
      <c r="L130" s="17">
        <f ca="1">IFERROR(IF(VALUE(RIGHT($B$109,2))&gt;$A130,0,INDEX('T&amp;D Capacity'!$E$28:$K$47,MATCH($A130,'T&amp;D Capacity'!$B$28:$B$47,FALSE),MATCH(EDC_NAME,'T&amp;D Capacity'!$E$27:$K$27,FALSE))),0)</f>
        <v>12.510798499894417</v>
      </c>
      <c r="M130" s="17">
        <f ca="1">IFERROR(IF(VALUE(RIGHT($B$109,2))&gt;$A130,0,INDEX('T&amp;D Capacity'!$M$4:$S$23,MATCH($A130,'T&amp;D Capacity'!$B$4:$B$23,FALSE),MATCH(EDC_NAME,'T&amp;D Capacity'!$M$3:$S$3,FALSE))),0)</f>
        <v>81.192042557357169</v>
      </c>
      <c r="N130" s="17">
        <f ca="1">IFERROR(IF(VALUE(RIGHT($B$109,2))&gt;$A130,0,INDEX('T&amp;D Capacity'!$M$28:$S$47,MATCH($A130,'T&amp;D Capacity'!$B$28:$B$47,FALSE),MATCH(EDC_NAME,'T&amp;D Capacity'!$M$27:$S$27,FALSE))),0)</f>
        <v>11.773408652876794</v>
      </c>
      <c r="O130" s="18">
        <f>IFERROR(IF(VALUE(RIGHT($B$109,2))&gt;$A130,0,IFERROR(AVERAGEIF('NG Futures'!$E:$E,$B130,'NG Futures'!$I:$I),"Data Missing")),0)</f>
        <v>5.1747263437160846</v>
      </c>
      <c r="P130" s="324"/>
    </row>
    <row r="131" spans="1:16" s="50" customFormat="1" ht="15" customHeight="1" x14ac:dyDescent="0.2">
      <c r="A131" s="124">
        <f t="shared" ref="A131:B132" si="9">A130+1</f>
        <v>36</v>
      </c>
      <c r="B131" s="124">
        <f t="shared" si="9"/>
        <v>2045</v>
      </c>
      <c r="C131" s="122">
        <f ca="1">IFERROR(IF(VALUE(RIGHT($B$109,2))&gt;$A131,0,AVERAGEIFS(Elec_On_Peak, 'Avoided AC'!$D:$D, $B131, 'Avoided AC'!$E:$E, "Summer") +
        INDEX(AEPS!$S$8:$S$37, MATCH($A131, 'General Inputs'!$F$3:$F$32, 0)) +
        OFFSET(DRIPE!$I$10, MATCH('LI Output'!$B131, DRIPE!$I$11:$I$30, 0), MATCH('LI Output'!$B$109, DRIPE!$J$10:$N$10, 0), 1, 1) +
        INDEX(Arrearages!C$5:J$24, MATCH($A131, Arrearages!$B$5:$B$24, 0), MATCH('General Inputs'!$C$2, Arrearages!$C$4:$J$4, 0))),"Data Missing")</f>
        <v>117.40754999431464</v>
      </c>
      <c r="D131" s="17">
        <f ca="1">IFERROR(IF(VALUE(RIGHT($B$109,2))&gt;$A131,0,AVERAGEIFS(Elec_Off_Peak, 'Avoided AC'!$D:$D, $B131, 'Avoided AC'!$E:$E, "Summer") +
        INDEX(AEPS!$S$8:$S$37, MATCH($A131, 'General Inputs'!$F$3:$F$32, 0)) +
        OFFSET(DRIPE!$I$10, MATCH('LI Output'!$B131, DRIPE!$I$11:$I$30, 0), MATCH('LI Output'!$B$109, DRIPE!$J$10:$N$10, 0), 1, 1) +
        INDEX(Arrearages!C$5:J$24, MATCH($A131, Arrearages!$B$5:$B$24, 0), MATCH('General Inputs'!$C$2, Arrearages!$C$4:$J$4, 0))),"Data Missing")</f>
        <v>82.691481825355112</v>
      </c>
      <c r="E131" s="17">
        <f ca="1">IFERROR(IF(VALUE(RIGHT($B$109,2))&gt;$A131,0,AVERAGEIFS(Elec_On_Peak, 'Avoided AC'!$D:$D, $B131, 'Avoided AC'!$E:$E, "Winter") +
        INDEX(AEPS!$S$8:$S$37, MATCH($A131, 'General Inputs'!$F$3:$F$32, 0)) +
        OFFSET(DRIPE!$I$10, MATCH('LI Output'!$B131, DRIPE!$I$11:$I$30, 0), MATCH('LI Output'!$B$109, DRIPE!$J$10:$N$10, 0), 1, 1) +
        INDEX(Arrearages!C$5:J$24, MATCH($A131, Arrearages!$B$5:$B$24, 0), MATCH('General Inputs'!$C$2, Arrearages!$C$4:$J$4, 0))),"Data Missing")</f>
        <v>143.37125110625209</v>
      </c>
      <c r="F131" s="17">
        <f ca="1">IFERROR(IF(VALUE(RIGHT($B$109,2))&gt;$A131,0,AVERAGEIFS(Elec_Off_Peak, 'Avoided AC'!$D:$D, $B131, 'Avoided AC'!$E:$E, "Winter") +
        INDEX(AEPS!$S$8:$S$37, MATCH($A131, 'General Inputs'!$F$3:$F$32, 0)) +
        OFFSET(DRIPE!$I$10, MATCH('LI Output'!$B131, DRIPE!$I$11:$I$30, 0), MATCH('LI Output'!$B$109, DRIPE!$J$10:$N$10, 0), 1, 1) +
        INDEX(Arrearages!C$5:J$24, MATCH($A131, Arrearages!$B$5:$B$24, 0), MATCH('General Inputs'!$C$2, Arrearages!$C$4:$J$4, 0))),"Data Missing")</f>
        <v>120.68827069948665</v>
      </c>
      <c r="G131" s="17">
        <f ca="1">IFERROR(IF(VALUE(RIGHT($B$109,2))&gt;$A131,0,AVERAGEIFS(Elec_On_Peak, 'Avoided AC'!$D:$D, $B131, 'Avoided AC'!$E:$E, "Shoulder") +
        INDEX(AEPS!$S$8:$S$37, MATCH($A131, 'General Inputs'!$F$3:$F$32, 0)) +
        OFFSET(DRIPE!$I$10, MATCH('LI Output'!$B131, DRIPE!$I$11:$I$30, 0), MATCH('LI Output'!$B$109, DRIPE!$J$10:$N$10, 0), 1, 1) +
        INDEX(Arrearages!C$5:J$24, MATCH($A131, Arrearages!$B$5:$B$24, 0), MATCH('General Inputs'!$C$2, Arrearages!$C$4:$J$4, 0))),"Data Missing")</f>
        <v>105.72797903546603</v>
      </c>
      <c r="H131" s="17">
        <f ca="1">IFERROR(IF(VALUE(RIGHT($B$109,2))&gt;$A131,0,AVERAGEIFS(Elec_Off_Peak, 'Avoided AC'!$D:$D, $B131, 'Avoided AC'!$E:$E, "Shoulder") +
        INDEX(AEPS!$S$8:$S$37, MATCH($A131, 'General Inputs'!$F$3:$F$32, 0)) +
        OFFSET(DRIPE!$I$10, MATCH('LI Output'!$B131, DRIPE!$I$11:$I$30, 0), MATCH('LI Output'!$B$109, DRIPE!$J$10:$N$10, 0), 1, 1) +
        INDEX(Arrearages!C$5:J$24, MATCH($A131, Arrearages!$B$5:$B$24, 0), MATCH('General Inputs'!$C$2, Arrearages!$C$4:$J$4, 0))),"Data Missing")</f>
        <v>87.642064236665846</v>
      </c>
      <c r="I131" s="17">
        <f ca="1">(IF(VALUE(RIGHT($B$109,2))&gt;$A131,0,INDEX('Generation Capacity'!$E$27:$K$48,MATCH($A131,'Generation Capacity'!$B$27:$B$48,FALSE),MATCH(EDC_NAME,'Generation Capacity'!$E$26:$K$26,FALSE))+
        OFFSET(DRIPE!$B$35,MATCH('LI Output'!$B131,DRIPE!$B$11:$B$30,0),MATCH('LI Output'!$B$109,DRIPE!$C$10:$G$10,0),1,1)))</f>
        <v>36.83306259830416</v>
      </c>
      <c r="J131" s="17">
        <f ca="1">(IF(VALUE(RIGHT($B$109,2))&gt;$A131,0,INDEX('Generation Capacity'!$E$27:$K$48,MATCH($A131,'Generation Capacity'!$B$27:$B$48,FALSE),MATCH(EDC_NAME,'Generation Capacity'!$E$26:$K$26,FALSE))+
        OFFSET(DRIPE!$I$35,MATCH('LI Output'!$B131,DRIPE!$B$11:$B$30,0),MATCH('LI Output'!$B$109,DRIPE!$C$10:$G$10,0),1,1)))</f>
        <v>36.83306259830416</v>
      </c>
      <c r="K131" s="17">
        <f ca="1">IFERROR(IF(VALUE(RIGHT($B$109,2))&gt;$A131,0,INDEX('T&amp;D Capacity'!$E$4:$K$23,MATCH($A131,'T&amp;D Capacity'!$B$4:$B$23,FALSE),MATCH(EDC_NAME,'T&amp;D Capacity'!$E$3:$K$3,FALSE))),0)</f>
        <v>12.769965116633969</v>
      </c>
      <c r="L131" s="17">
        <f ca="1">IFERROR(IF(VALUE(RIGHT($B$109,2))&gt;$A131,0,INDEX('T&amp;D Capacity'!$E$28:$K$47,MATCH($A131,'T&amp;D Capacity'!$B$28:$B$47,FALSE),MATCH(EDC_NAME,'T&amp;D Capacity'!$E$27:$K$27,FALSE))),0)</f>
        <v>12.769965116633969</v>
      </c>
      <c r="M131" s="17">
        <f ca="1">IFERROR(IF(VALUE(RIGHT($B$109,2))&gt;$A131,0,INDEX('T&amp;D Capacity'!$M$4:$S$23,MATCH($A131,'T&amp;D Capacity'!$B$4:$B$23,FALSE),MATCH(EDC_NAME,'T&amp;D Capacity'!$M$3:$S$3,FALSE))),0)</f>
        <v>82.873970931148946</v>
      </c>
      <c r="N131" s="17">
        <f ca="1">IFERROR(IF(VALUE(RIGHT($B$109,2))&gt;$A131,0,INDEX('T&amp;D Capacity'!$M$28:$S$47,MATCH($A131,'T&amp;D Capacity'!$B$28:$B$47,FALSE),MATCH(EDC_NAME,'T&amp;D Capacity'!$M$27:$S$27,FALSE))),0)</f>
        <v>12.017299919136418</v>
      </c>
      <c r="O131" s="18">
        <f>IFERROR(IF(VALUE(RIGHT($B$109,2))&gt;$A131,0,IFERROR(AVERAGEIF('NG Futures'!$E:$E,$B131,'NG Futures'!$I:$I),"Data Missing")),0)</f>
        <v>5.2503223688083311</v>
      </c>
      <c r="P131" s="324"/>
    </row>
    <row r="132" spans="1:16" s="50" customFormat="1" ht="15" customHeight="1" x14ac:dyDescent="0.2">
      <c r="A132" s="124">
        <f t="shared" si="9"/>
        <v>37</v>
      </c>
      <c r="B132" s="124">
        <f t="shared" si="9"/>
        <v>2046</v>
      </c>
      <c r="C132" s="122">
        <f ca="1">IFERROR(IF(VALUE(RIGHT($B$109,2))&gt;$A132,0,AVERAGEIFS(Elec_On_Peak, 'Avoided AC'!$D:$D, $B132, 'Avoided AC'!$E:$E, "Summer") +
        INDEX(AEPS!$S$8:$S$37, MATCH($A132, 'General Inputs'!$F$3:$F$32, 0)) +
        OFFSET(DRIPE!$I$10, MATCH('LI Output'!$B132, DRIPE!$I$11:$I$30, 0), MATCH('LI Output'!$B$109, DRIPE!$J$10:$N$10, 0), 1, 1) +
        INDEX(Arrearages!C$5:J$24, MATCH($A132, Arrearages!$B$5:$B$24, 0), MATCH('General Inputs'!$C$2, Arrearages!$C$4:$J$4, 0))),"Data Missing")</f>
        <v>119.74959274908434</v>
      </c>
      <c r="D132" s="17">
        <f ca="1">IFERROR(IF(VALUE(RIGHT($B$109,2))&gt;$A132,0,AVERAGEIFS(Elec_Off_Peak, 'Avoided AC'!$D:$D, $B132, 'Avoided AC'!$E:$E, "Summer") +
        INDEX(AEPS!$S$8:$S$37, MATCH($A132, 'General Inputs'!$F$3:$F$32, 0)) +
        OFFSET(DRIPE!$I$10, MATCH('LI Output'!$B132, DRIPE!$I$11:$I$30, 0), MATCH('LI Output'!$B$109, DRIPE!$J$10:$N$10, 0), 1, 1) +
        INDEX(Arrearages!C$5:J$24, MATCH($A132, Arrearages!$B$5:$B$24, 0), MATCH('General Inputs'!$C$2, Arrearages!$C$4:$J$4, 0))),"Data Missing")</f>
        <v>84.526564297707495</v>
      </c>
      <c r="E132" s="17">
        <f ca="1">IFERROR(IF(VALUE(RIGHT($B$109,2))&gt;$A132,0,AVERAGEIFS(Elec_On_Peak, 'Avoided AC'!$D:$D, $B132, 'Avoided AC'!$E:$E, "Winter") +
        INDEX(AEPS!$S$8:$S$37, MATCH($A132, 'General Inputs'!$F$3:$F$32, 0)) +
        OFFSET(DRIPE!$I$10, MATCH('LI Output'!$B132, DRIPE!$I$11:$I$30, 0), MATCH('LI Output'!$B$109, DRIPE!$J$10:$N$10, 0), 1, 1) +
        INDEX(Arrearages!C$5:J$24, MATCH($A132, Arrearages!$B$5:$B$24, 0), MATCH('General Inputs'!$C$2, Arrearages!$C$4:$J$4, 0))),"Data Missing")</f>
        <v>148.04709717748125</v>
      </c>
      <c r="F132" s="17">
        <f ca="1">IFERROR(IF(VALUE(RIGHT($B$109,2))&gt;$A132,0,AVERAGEIFS(Elec_Off_Peak, 'Avoided AC'!$D:$D, $B132, 'Avoided AC'!$E:$E, "Winter") +
        INDEX(AEPS!$S$8:$S$37, MATCH($A132, 'General Inputs'!$F$3:$F$32, 0)) +
        OFFSET(DRIPE!$I$10, MATCH('LI Output'!$B132, DRIPE!$I$11:$I$30, 0), MATCH('LI Output'!$B$109, DRIPE!$J$10:$N$10, 0), 1, 1) +
        INDEX(Arrearages!C$5:J$24, MATCH($A132, Arrearages!$B$5:$B$24, 0), MATCH('General Inputs'!$C$2, Arrearages!$C$4:$J$4, 0))),"Data Missing")</f>
        <v>124.13056713301998</v>
      </c>
      <c r="G132" s="17">
        <f ca="1">IFERROR(IF(VALUE(RIGHT($B$109,2))&gt;$A132,0,AVERAGEIFS(Elec_On_Peak, 'Avoided AC'!$D:$D, $B132, 'Avoided AC'!$E:$E, "Shoulder") +
        INDEX(AEPS!$S$8:$S$37, MATCH($A132, 'General Inputs'!$F$3:$F$32, 0)) +
        OFFSET(DRIPE!$I$10, MATCH('LI Output'!$B132, DRIPE!$I$11:$I$30, 0), MATCH('LI Output'!$B$109, DRIPE!$J$10:$N$10, 0), 1, 1) +
        INDEX(Arrearages!C$5:J$24, MATCH($A132, Arrearages!$B$5:$B$24, 0), MATCH('General Inputs'!$C$2, Arrearages!$C$4:$J$4, 0))),"Data Missing")</f>
        <v>108.31730734297922</v>
      </c>
      <c r="H132" s="17">
        <f ca="1">IFERROR(IF(VALUE(RIGHT($B$109,2))&gt;$A132,0,AVERAGEIFS(Elec_Off_Peak, 'Avoided AC'!$D:$D, $B132, 'Avoided AC'!$E:$E, "Shoulder") +
        INDEX(AEPS!$S$8:$S$37, MATCH($A132, 'General Inputs'!$F$3:$F$32, 0)) +
        OFFSET(DRIPE!$I$10, MATCH('LI Output'!$B132, DRIPE!$I$11:$I$30, 0), MATCH('LI Output'!$B$109, DRIPE!$J$10:$N$10, 0), 1, 1) +
        INDEX(Arrearages!C$5:J$24, MATCH($A132, Arrearages!$B$5:$B$24, 0), MATCH('General Inputs'!$C$2, Arrearages!$C$4:$J$4, 0))),"Data Missing")</f>
        <v>89.647444175803315</v>
      </c>
      <c r="I132" s="17">
        <f ca="1">(IF(VALUE(RIGHT($B$109,2))&gt;$A132,0,INDEX('Generation Capacity'!$E$27:$K$48,MATCH($A132,'Generation Capacity'!$B$27:$B$48,FALSE),MATCH(EDC_NAME,'Generation Capacity'!$E$26:$K$26,FALSE))+
        OFFSET(DRIPE!$B$35,MATCH('LI Output'!$B132,DRIPE!$B$11:$B$30,0),MATCH('LI Output'!$B$109,DRIPE!$C$10:$G$10,0),1,1)))</f>
        <v>37.596075464176728</v>
      </c>
      <c r="J132" s="17">
        <f ca="1">(IF(VALUE(RIGHT($B$109,2))&gt;$A132,0,INDEX('Generation Capacity'!$E$27:$K$48,MATCH($A132,'Generation Capacity'!$B$27:$B$48,FALSE),MATCH(EDC_NAME,'Generation Capacity'!$E$26:$K$26,FALSE))+
        OFFSET(DRIPE!$I$35,MATCH('LI Output'!$B132,DRIPE!$B$11:$B$30,0),MATCH('LI Output'!$B$109,DRIPE!$C$10:$G$10,0),1,1)))</f>
        <v>37.596075464176728</v>
      </c>
      <c r="K132" s="17">
        <f ca="1">IFERROR(IF(VALUE(RIGHT($B$109,2))&gt;$A132,0,INDEX('T&amp;D Capacity'!$E$4:$K$23,MATCH($A132,'T&amp;D Capacity'!$B$4:$B$23,FALSE),MATCH(EDC_NAME,'T&amp;D Capacity'!$E$3:$K$3,FALSE))),0)</f>
        <v>13.034500482237377</v>
      </c>
      <c r="L132" s="17">
        <f ca="1">IFERROR(IF(VALUE(RIGHT($B$109,2))&gt;$A132,0,INDEX('T&amp;D Capacity'!$E$28:$K$47,MATCH($A132,'T&amp;D Capacity'!$B$28:$B$47,FALSE),MATCH(EDC_NAME,'T&amp;D Capacity'!$E$27:$K$27,FALSE))),0)</f>
        <v>13.034500482237377</v>
      </c>
      <c r="M132" s="17">
        <f ca="1">IFERROR(IF(VALUE(RIGHT($B$109,2))&gt;$A132,0,INDEX('T&amp;D Capacity'!$M$4:$S$23,MATCH($A132,'T&amp;D Capacity'!$B$4:$B$23,FALSE),MATCH(EDC_NAME,'T&amp;D Capacity'!$M$3:$S$3,FALSE))),0)</f>
        <v>84.590741180640151</v>
      </c>
      <c r="N132" s="17">
        <f ca="1">IFERROR(IF(VALUE(RIGHT($B$109,2))&gt;$A132,0,INDEX('T&amp;D Capacity'!$M$28:$S$47,MATCH($A132,'T&amp;D Capacity'!$B$28:$B$47,FALSE),MATCH(EDC_NAME,'T&amp;D Capacity'!$M$27:$S$27,FALSE))),0)</f>
        <v>12.266243498749931</v>
      </c>
      <c r="O132" s="18">
        <f>IFERROR(IF(VALUE(RIGHT($B$109,2))&gt;$A132,0,IFERROR(AVERAGEIF('NG Futures'!$E:$E,$B132,'NG Futures'!$I:$I),"Data Missing")),0)</f>
        <v>5.4583218785801444</v>
      </c>
      <c r="P132" s="325"/>
    </row>
    <row r="133" spans="1:16" s="50" customFormat="1" x14ac:dyDescent="0.2"/>
    <row r="134" spans="1:16" s="50" customFormat="1" x14ac:dyDescent="0.2"/>
    <row r="135" spans="1:16" s="50" customFormat="1" x14ac:dyDescent="0.2"/>
    <row r="136" spans="1:16" s="50" customFormat="1" x14ac:dyDescent="0.2"/>
    <row r="137" spans="1:16" s="50" customFormat="1" x14ac:dyDescent="0.2"/>
    <row r="138" spans="1:16" s="50" customFormat="1" x14ac:dyDescent="0.2"/>
    <row r="139" spans="1:16" s="50" customFormat="1" x14ac:dyDescent="0.2"/>
    <row r="140" spans="1:16" s="50" customFormat="1" x14ac:dyDescent="0.2"/>
    <row r="141" spans="1:16" s="50" customFormat="1" x14ac:dyDescent="0.2"/>
    <row r="142" spans="1:16" s="50" customFormat="1" x14ac:dyDescent="0.2"/>
    <row r="143" spans="1:16" s="50" customFormat="1" x14ac:dyDescent="0.2"/>
    <row r="144" spans="1:16" s="50" customFormat="1" x14ac:dyDescent="0.2"/>
    <row r="145" s="50" customFormat="1" x14ac:dyDescent="0.2"/>
    <row r="146" s="50" customFormat="1" x14ac:dyDescent="0.2"/>
    <row r="147" s="50" customFormat="1" x14ac:dyDescent="0.2"/>
    <row r="148" s="50" customFormat="1" x14ac:dyDescent="0.2"/>
    <row r="149" s="50" customFormat="1" x14ac:dyDescent="0.2"/>
    <row r="150" s="50" customFormat="1" x14ac:dyDescent="0.2"/>
    <row r="151" s="50" customFormat="1" x14ac:dyDescent="0.2"/>
    <row r="152" s="50" customFormat="1" x14ac:dyDescent="0.2"/>
    <row r="153" s="50" customFormat="1" x14ac:dyDescent="0.2"/>
    <row r="154" s="50" customFormat="1" x14ac:dyDescent="0.2"/>
    <row r="155" s="50" customFormat="1" x14ac:dyDescent="0.2"/>
    <row r="156" s="50" customFormat="1" x14ac:dyDescent="0.2"/>
    <row r="157" s="50" customFormat="1" x14ac:dyDescent="0.2"/>
    <row r="158" s="50" customFormat="1" x14ac:dyDescent="0.2"/>
    <row r="159" s="50" customFormat="1" x14ac:dyDescent="0.2"/>
    <row r="160" s="50" customFormat="1" x14ac:dyDescent="0.2"/>
    <row r="161" s="50" customFormat="1" x14ac:dyDescent="0.2"/>
    <row r="162" s="50" customFormat="1" x14ac:dyDescent="0.2"/>
    <row r="163" s="50" customFormat="1" x14ac:dyDescent="0.2"/>
    <row r="164" s="50" customFormat="1" x14ac:dyDescent="0.2"/>
    <row r="165" s="50" customFormat="1" x14ac:dyDescent="0.2"/>
    <row r="166" s="50" customFormat="1" x14ac:dyDescent="0.2"/>
    <row r="167" s="50" customFormat="1" x14ac:dyDescent="0.2"/>
    <row r="168" s="50" customFormat="1" x14ac:dyDescent="0.2"/>
    <row r="169" s="50" customFormat="1" x14ac:dyDescent="0.2"/>
    <row r="170" s="50" customFormat="1" x14ac:dyDescent="0.2"/>
    <row r="171" s="50" customFormat="1" x14ac:dyDescent="0.2"/>
    <row r="172" s="50" customFormat="1" x14ac:dyDescent="0.2"/>
    <row r="173" s="50" customFormat="1" x14ac:dyDescent="0.2"/>
    <row r="174" s="50" customFormat="1" x14ac:dyDescent="0.2"/>
    <row r="175" s="50" customFormat="1" x14ac:dyDescent="0.2"/>
    <row r="176" s="50" customFormat="1" x14ac:dyDescent="0.2"/>
    <row r="177" s="50" customFormat="1" x14ac:dyDescent="0.2"/>
    <row r="178" s="50" customFormat="1" x14ac:dyDescent="0.2"/>
    <row r="179" s="50" customFormat="1" x14ac:dyDescent="0.2"/>
    <row r="180" s="50" customFormat="1" x14ac:dyDescent="0.2"/>
    <row r="181" s="50" customFormat="1" x14ac:dyDescent="0.2"/>
    <row r="182" s="50" customFormat="1" x14ac:dyDescent="0.2"/>
    <row r="183" s="50" customFormat="1" x14ac:dyDescent="0.2"/>
    <row r="184" s="50" customFormat="1" x14ac:dyDescent="0.2"/>
    <row r="185" s="50" customFormat="1" x14ac:dyDescent="0.2"/>
    <row r="186" s="50" customFormat="1" x14ac:dyDescent="0.2"/>
    <row r="187" s="50" customFormat="1" x14ac:dyDescent="0.2"/>
    <row r="188" s="50" customFormat="1" x14ac:dyDescent="0.2"/>
    <row r="189" s="50" customFormat="1" x14ac:dyDescent="0.2"/>
    <row r="190" s="50" customFormat="1" x14ac:dyDescent="0.2"/>
    <row r="191" s="50" customFormat="1" x14ac:dyDescent="0.2"/>
    <row r="192" s="50" customFormat="1" x14ac:dyDescent="0.2"/>
    <row r="193" s="50" customFormat="1" x14ac:dyDescent="0.2"/>
    <row r="194" s="50" customFormat="1" x14ac:dyDescent="0.2"/>
    <row r="195" s="50" customFormat="1" x14ac:dyDescent="0.2"/>
    <row r="196" s="50" customFormat="1" x14ac:dyDescent="0.2"/>
    <row r="197" s="50" customFormat="1" x14ac:dyDescent="0.2"/>
    <row r="198" s="50" customFormat="1" x14ac:dyDescent="0.2"/>
    <row r="199" s="50" customFormat="1" x14ac:dyDescent="0.2"/>
    <row r="200" s="50" customFormat="1" x14ac:dyDescent="0.2"/>
    <row r="201" s="50" customFormat="1" x14ac:dyDescent="0.2"/>
    <row r="202" s="50" customFormat="1" x14ac:dyDescent="0.2"/>
    <row r="203" s="50" customFormat="1" x14ac:dyDescent="0.2"/>
    <row r="204" s="50" customFormat="1" x14ac:dyDescent="0.2"/>
    <row r="205" s="50" customFormat="1" x14ac:dyDescent="0.2"/>
    <row r="206" s="50" customFormat="1" x14ac:dyDescent="0.2"/>
    <row r="207" s="50" customFormat="1" x14ac:dyDescent="0.2"/>
    <row r="208" s="50" customFormat="1" x14ac:dyDescent="0.2"/>
    <row r="209" s="50" customFormat="1" x14ac:dyDescent="0.2"/>
    <row r="210" s="50" customFormat="1" x14ac:dyDescent="0.2"/>
  </sheetData>
  <mergeCells count="60">
    <mergeCell ref="C2:H2"/>
    <mergeCell ref="I2:N2"/>
    <mergeCell ref="C3:D3"/>
    <mergeCell ref="E3:F3"/>
    <mergeCell ref="G3:H3"/>
    <mergeCell ref="I3:J3"/>
    <mergeCell ref="K3:L3"/>
    <mergeCell ref="M3:N3"/>
    <mergeCell ref="O3:O4"/>
    <mergeCell ref="P5:P8"/>
    <mergeCell ref="P9:P14"/>
    <mergeCell ref="P15:P24"/>
    <mergeCell ref="C29:H29"/>
    <mergeCell ref="I29:N29"/>
    <mergeCell ref="O30:O31"/>
    <mergeCell ref="P32:P35"/>
    <mergeCell ref="P36:P41"/>
    <mergeCell ref="P42:P51"/>
    <mergeCell ref="C56:H56"/>
    <mergeCell ref="I56:N56"/>
    <mergeCell ref="C30:D30"/>
    <mergeCell ref="E30:F30"/>
    <mergeCell ref="G30:H30"/>
    <mergeCell ref="I30:J30"/>
    <mergeCell ref="K30:L30"/>
    <mergeCell ref="M30:N30"/>
    <mergeCell ref="O57:O58"/>
    <mergeCell ref="P59:P62"/>
    <mergeCell ref="P63:P68"/>
    <mergeCell ref="P69:P78"/>
    <mergeCell ref="C83:H83"/>
    <mergeCell ref="I83:N83"/>
    <mergeCell ref="C57:D57"/>
    <mergeCell ref="E57:F57"/>
    <mergeCell ref="G57:H57"/>
    <mergeCell ref="I57:J57"/>
    <mergeCell ref="K57:L57"/>
    <mergeCell ref="M57:N57"/>
    <mergeCell ref="O84:O85"/>
    <mergeCell ref="P86:P89"/>
    <mergeCell ref="P90:P95"/>
    <mergeCell ref="P96:P105"/>
    <mergeCell ref="C110:H110"/>
    <mergeCell ref="I110:N110"/>
    <mergeCell ref="C84:D84"/>
    <mergeCell ref="E84:F84"/>
    <mergeCell ref="G84:H84"/>
    <mergeCell ref="I84:J84"/>
    <mergeCell ref="K84:L84"/>
    <mergeCell ref="M84:N84"/>
    <mergeCell ref="O111:O112"/>
    <mergeCell ref="P113:P116"/>
    <mergeCell ref="P117:P122"/>
    <mergeCell ref="P123:P132"/>
    <mergeCell ref="C111:D111"/>
    <mergeCell ref="E111:F111"/>
    <mergeCell ref="G111:H111"/>
    <mergeCell ref="I111:J111"/>
    <mergeCell ref="K111:L111"/>
    <mergeCell ref="M111:N11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D849977-3C76-4FBD-B1CD-5D3E4854CCAB}">
          <x14:formula1>
            <xm:f>DRIPE!$C$10:$G$10</xm:f>
          </x14:formula1>
          <xm:sqref>B29 B56 B83 B110 B2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9" tint="0.79998168889431442"/>
  </sheetPr>
  <dimension ref="A2:AT63"/>
  <sheetViews>
    <sheetView zoomScale="110" zoomScaleNormal="100" workbookViewId="0">
      <pane xSplit="1" ySplit="2" topLeftCell="B3" activePane="bottomRight" state="frozen"/>
      <selection pane="topRight" activeCell="B1" sqref="B1"/>
      <selection pane="bottomLeft" activeCell="A3" sqref="A3"/>
      <selection pane="bottomRight" activeCell="K10" sqref="K10"/>
    </sheetView>
  </sheetViews>
  <sheetFormatPr defaultColWidth="9.140625" defaultRowHeight="12.75" x14ac:dyDescent="0.25"/>
  <cols>
    <col min="1" max="1" width="8.42578125" style="73" customWidth="1"/>
    <col min="2" max="2" width="12.85546875" style="73" customWidth="1"/>
    <col min="3" max="4" width="8.140625" style="73" hidden="1" customWidth="1"/>
    <col min="5" max="6" width="12.85546875" style="73" customWidth="1"/>
    <col min="7" max="7" width="3.140625" style="73" customWidth="1"/>
    <col min="8" max="9" width="12.85546875" style="73" customWidth="1"/>
    <col min="10" max="10" width="3.140625" style="73" customWidth="1"/>
    <col min="11" max="11" width="12.140625" style="73" customWidth="1"/>
    <col min="12" max="12" width="12.42578125" style="73" bestFit="1" customWidth="1"/>
    <col min="13" max="15" width="12.42578125" style="73" customWidth="1"/>
    <col min="16" max="18" width="11.42578125" style="73" customWidth="1"/>
    <col min="19" max="19" width="11" style="73" customWidth="1"/>
    <col min="20" max="16384" width="9.140625" style="73"/>
  </cols>
  <sheetData>
    <row r="2" spans="1:46" ht="66.95" customHeight="1" x14ac:dyDescent="0.25">
      <c r="A2" s="283" t="s">
        <v>135</v>
      </c>
      <c r="B2" s="283" t="s">
        <v>136</v>
      </c>
      <c r="C2" s="283" t="s">
        <v>137</v>
      </c>
      <c r="D2" s="283" t="s">
        <v>120</v>
      </c>
      <c r="E2" s="283" t="s">
        <v>138</v>
      </c>
      <c r="F2" s="283" t="s">
        <v>139</v>
      </c>
      <c r="G2" s="71"/>
      <c r="H2" s="283" t="str">
        <f>EDC_NAME&amp;" Zone Adjusted On-Peak (Nominal $/MWh)"</f>
        <v>West Penn Zone Adjusted On-Peak (Nominal $/MWh)</v>
      </c>
      <c r="I2" s="283" t="str">
        <f>EDC_NAME&amp;" Zone Adjusted Off-Peak (Nominal $/MWh)"</f>
        <v>West Penn Zone Adjusted Off-Peak (Nominal $/MWh)</v>
      </c>
      <c r="J2" s="72"/>
      <c r="K2" s="328" t="s">
        <v>140</v>
      </c>
      <c r="L2" s="328"/>
      <c r="M2" s="328"/>
      <c r="N2" s="328"/>
      <c r="O2" s="328"/>
      <c r="P2" s="328"/>
      <c r="Q2" s="328"/>
      <c r="R2" s="328"/>
      <c r="S2" s="75"/>
    </row>
    <row r="3" spans="1:46" x14ac:dyDescent="0.25">
      <c r="A3" s="142">
        <v>1</v>
      </c>
      <c r="B3" s="138">
        <f t="shared" ref="B3:B34" si="0">DATE(Start_Year-1,A3,1)</f>
        <v>46023</v>
      </c>
      <c r="C3" s="144" t="str">
        <f t="shared" ref="C3:C34" si="1">CHOOSE(MONTH(B3), "Jan", "Feb", "Mar", "Apr", "May", "Jun", "Jul", "Aug", "Sep", "Oct", "Nov", "Dec")</f>
        <v>Jan</v>
      </c>
      <c r="D3" s="144">
        <f t="shared" ref="D3:D34" si="2">YEAR(B3)</f>
        <v>2026</v>
      </c>
      <c r="E3" s="139">
        <v>71.024000000000001</v>
      </c>
      <c r="F3" s="139">
        <v>56.192</v>
      </c>
      <c r="G3" s="74"/>
      <c r="H3" s="25">
        <f>IF(ISNUMBER(E3),E3*ELEC_Zone_Adjust,"N/A")</f>
        <v>73.756927312000798</v>
      </c>
      <c r="I3" s="25">
        <f t="shared" ref="I3:I14" si="3">IF(ISNUMBER(F3),F3*ELEC_Zone_Adjust,"N/A")</f>
        <v>58.354207866579593</v>
      </c>
      <c r="J3" s="74"/>
      <c r="K3" s="285" t="s">
        <v>141</v>
      </c>
      <c r="L3" s="285" t="s">
        <v>142</v>
      </c>
      <c r="M3" s="132">
        <v>2020</v>
      </c>
      <c r="N3" s="132">
        <f>M3+1</f>
        <v>2021</v>
      </c>
      <c r="O3" s="132">
        <f t="shared" ref="O3:Q3" si="4">N3+1</f>
        <v>2022</v>
      </c>
      <c r="P3" s="132">
        <f t="shared" si="4"/>
        <v>2023</v>
      </c>
      <c r="Q3" s="132">
        <f t="shared" si="4"/>
        <v>2024</v>
      </c>
      <c r="R3" s="285" t="s">
        <v>143</v>
      </c>
    </row>
    <row r="4" spans="1:46" ht="15" customHeight="1" x14ac:dyDescent="0.25">
      <c r="A4" s="142">
        <v>2</v>
      </c>
      <c r="B4" s="138">
        <f t="shared" si="0"/>
        <v>46054</v>
      </c>
      <c r="C4" s="144" t="str">
        <f t="shared" si="1"/>
        <v>Feb</v>
      </c>
      <c r="D4" s="144">
        <f t="shared" si="2"/>
        <v>2026</v>
      </c>
      <c r="E4" s="139">
        <v>55.247</v>
      </c>
      <c r="F4" s="139">
        <v>45.15</v>
      </c>
      <c r="G4" s="74"/>
      <c r="H4" s="25">
        <f t="shared" ref="H4:H14" si="5">IF(ISNUMBER(E4),E4*ELEC_Zone_Adjust,"N/A")</f>
        <v>57.372845280554571</v>
      </c>
      <c r="I4" s="25">
        <f t="shared" si="3"/>
        <v>46.88732355452855</v>
      </c>
      <c r="J4" s="74"/>
      <c r="K4" s="133"/>
      <c r="L4" s="134" t="s">
        <v>144</v>
      </c>
      <c r="M4" s="191">
        <v>20.92</v>
      </c>
      <c r="N4" s="191">
        <v>38.880000000000003</v>
      </c>
      <c r="O4" s="191">
        <v>74.25</v>
      </c>
      <c r="P4" s="191">
        <v>31.78</v>
      </c>
      <c r="Q4" s="191">
        <v>33.24</v>
      </c>
      <c r="R4" s="135"/>
      <c r="S4" s="96"/>
    </row>
    <row r="5" spans="1:46" x14ac:dyDescent="0.25">
      <c r="A5" s="142">
        <v>3</v>
      </c>
      <c r="B5" s="138">
        <f t="shared" si="0"/>
        <v>46082</v>
      </c>
      <c r="C5" s="144" t="str">
        <f t="shared" si="1"/>
        <v>Mar</v>
      </c>
      <c r="D5" s="144">
        <f t="shared" si="2"/>
        <v>2026</v>
      </c>
      <c r="E5" s="139">
        <v>48.432000000000002</v>
      </c>
      <c r="F5" s="139">
        <v>41.642000000000003</v>
      </c>
      <c r="G5" s="74"/>
      <c r="H5" s="25">
        <f t="shared" si="5"/>
        <v>50.295611392977342</v>
      </c>
      <c r="I5" s="25">
        <f t="shared" si="3"/>
        <v>43.244339478575377</v>
      </c>
      <c r="J5" s="74"/>
      <c r="K5" s="134" t="e">
        <f ca="1">OFFSET(Lookups!#REF!,MATCH(L5,Lookups!#REF!,0),0,1,1)</f>
        <v>#REF!</v>
      </c>
      <c r="L5" s="136" t="str">
        <f>EDC_NAME</f>
        <v>West Penn</v>
      </c>
      <c r="M5" s="191">
        <f>VLOOKUP($L5,PJM_SOM!$B$14:$J$22,MATCH('Elec Futures'!M3,PJM_SOM!$B$14:$J$14,0),0)</f>
        <v>22.4</v>
      </c>
      <c r="N5" s="191">
        <f>VLOOKUP($L5,PJM_SOM!$B$14:$J$22,MATCH('Elec Futures'!N3,PJM_SOM!$B$14:$J$14,0),0)</f>
        <v>40.44</v>
      </c>
      <c r="O5" s="191">
        <f>VLOOKUP($L5,PJM_SOM!$B$14:$J$22,MATCH('Elec Futures'!O3,PJM_SOM!$B$14:$J$14,0),0)</f>
        <v>79.010000000000005</v>
      </c>
      <c r="P5" s="191">
        <f>VLOOKUP($L5,PJM_SOM!$B$14:$J$22,MATCH('Elec Futures'!P3,PJM_SOM!$B$14:$J$14,0),0)</f>
        <v>32.49</v>
      </c>
      <c r="Q5" s="191">
        <f>VLOOKUP($L5,PJM_SOM!$B$14:$J$22,MATCH('Elec Futures'!Q3,PJM_SOM!$B$14:$J$14,0),0)</f>
        <v>32.39</v>
      </c>
      <c r="R5" s="137">
        <f>SUM(M5:Q5)/SUM(M4:Q4)</f>
        <v>1.0384789270105992</v>
      </c>
      <c r="S5" s="96"/>
    </row>
    <row r="6" spans="1:46" ht="15" customHeight="1" x14ac:dyDescent="0.25">
      <c r="A6" s="142">
        <v>4</v>
      </c>
      <c r="B6" s="138">
        <f t="shared" si="0"/>
        <v>46113</v>
      </c>
      <c r="C6" s="144" t="str">
        <f t="shared" si="1"/>
        <v>Apr</v>
      </c>
      <c r="D6" s="144">
        <f t="shared" si="2"/>
        <v>2026</v>
      </c>
      <c r="E6" s="139">
        <v>48.502000000000002</v>
      </c>
      <c r="F6" s="139">
        <v>41.085999999999999</v>
      </c>
      <c r="G6" s="74"/>
      <c r="H6" s="25">
        <f t="shared" si="5"/>
        <v>50.368304917868088</v>
      </c>
      <c r="I6" s="25">
        <f t="shared" si="3"/>
        <v>42.666945195157474</v>
      </c>
      <c r="J6" s="74"/>
      <c r="K6" s="332" t="s">
        <v>145</v>
      </c>
      <c r="L6" s="332"/>
      <c r="M6" s="332"/>
      <c r="N6" s="332"/>
      <c r="O6" s="332"/>
      <c r="P6" s="332"/>
      <c r="Q6" s="332"/>
      <c r="R6" s="332"/>
      <c r="S6" s="96"/>
    </row>
    <row r="7" spans="1:46" x14ac:dyDescent="0.25">
      <c r="A7" s="142">
        <v>5</v>
      </c>
      <c r="B7" s="138">
        <f t="shared" si="0"/>
        <v>46143</v>
      </c>
      <c r="C7" s="144" t="str">
        <f t="shared" si="1"/>
        <v>May</v>
      </c>
      <c r="D7" s="144">
        <f t="shared" si="2"/>
        <v>2026</v>
      </c>
      <c r="E7" s="139">
        <v>45.085000000000001</v>
      </c>
      <c r="F7" s="139">
        <v>26.672000000000001</v>
      </c>
      <c r="G7" s="74"/>
      <c r="H7" s="25">
        <f t="shared" si="5"/>
        <v>46.819822424272864</v>
      </c>
      <c r="I7" s="25">
        <f t="shared" si="3"/>
        <v>27.698309941226704</v>
      </c>
      <c r="J7" s="74"/>
      <c r="K7" s="74"/>
      <c r="S7" s="96"/>
    </row>
    <row r="8" spans="1:46" x14ac:dyDescent="0.25">
      <c r="A8" s="142">
        <v>6</v>
      </c>
      <c r="B8" s="138">
        <f t="shared" si="0"/>
        <v>46174</v>
      </c>
      <c r="C8" s="144" t="str">
        <f t="shared" si="1"/>
        <v>Jun</v>
      </c>
      <c r="D8" s="144">
        <f t="shared" si="2"/>
        <v>2026</v>
      </c>
      <c r="E8" s="139">
        <v>81.131</v>
      </c>
      <c r="F8" s="139">
        <v>33.972000000000001</v>
      </c>
      <c r="G8" s="74"/>
      <c r="H8" s="25">
        <f t="shared" si="5"/>
        <v>84.252833827296925</v>
      </c>
      <c r="I8" s="25">
        <f t="shared" si="3"/>
        <v>35.279206108404075</v>
      </c>
      <c r="J8" s="74"/>
      <c r="K8" s="94"/>
      <c r="S8" s="96"/>
      <c r="U8" s="85"/>
      <c r="AT8" s="85"/>
    </row>
    <row r="9" spans="1:46" x14ac:dyDescent="0.25">
      <c r="A9" s="142">
        <v>7</v>
      </c>
      <c r="B9" s="138">
        <f t="shared" si="0"/>
        <v>46204</v>
      </c>
      <c r="C9" s="144" t="str">
        <f t="shared" si="1"/>
        <v>Jul</v>
      </c>
      <c r="D9" s="144">
        <f t="shared" si="2"/>
        <v>2026</v>
      </c>
      <c r="E9" s="139">
        <v>76.914000000000001</v>
      </c>
      <c r="F9" s="139">
        <v>37.462000000000003</v>
      </c>
      <c r="G9" s="74"/>
      <c r="H9" s="25">
        <f t="shared" si="5"/>
        <v>79.873568192093231</v>
      </c>
      <c r="I9" s="25">
        <f t="shared" si="3"/>
        <v>38.903497563671067</v>
      </c>
      <c r="J9" s="74"/>
      <c r="K9" s="250"/>
      <c r="S9" s="96"/>
      <c r="U9" s="85"/>
      <c r="AT9" s="85"/>
    </row>
    <row r="10" spans="1:46" x14ac:dyDescent="0.25">
      <c r="A10" s="142">
        <v>8</v>
      </c>
      <c r="B10" s="138">
        <f t="shared" si="0"/>
        <v>46235</v>
      </c>
      <c r="C10" s="144" t="str">
        <f t="shared" si="1"/>
        <v>Aug</v>
      </c>
      <c r="D10" s="144">
        <f t="shared" si="2"/>
        <v>2026</v>
      </c>
      <c r="E10" s="139">
        <v>51.052</v>
      </c>
      <c r="F10" s="139">
        <v>30.439</v>
      </c>
      <c r="G10" s="74"/>
      <c r="H10" s="25">
        <f t="shared" si="5"/>
        <v>53.016426181745111</v>
      </c>
      <c r="I10" s="25">
        <f t="shared" si="3"/>
        <v>31.610260059275628</v>
      </c>
      <c r="J10" s="74"/>
      <c r="K10" s="250"/>
      <c r="S10" s="96"/>
      <c r="U10" s="85"/>
      <c r="AT10" s="85"/>
    </row>
    <row r="11" spans="1:46" x14ac:dyDescent="0.25">
      <c r="A11" s="142">
        <v>9</v>
      </c>
      <c r="B11" s="138">
        <f t="shared" si="0"/>
        <v>46266</v>
      </c>
      <c r="C11" s="144" t="str">
        <f t="shared" si="1"/>
        <v>Sep</v>
      </c>
      <c r="D11" s="144">
        <f t="shared" si="2"/>
        <v>2026</v>
      </c>
      <c r="E11" s="139">
        <v>48.05</v>
      </c>
      <c r="F11" s="139">
        <v>29.1</v>
      </c>
      <c r="G11" s="74"/>
      <c r="H11" s="25">
        <f t="shared" si="5"/>
        <v>49.898912442859285</v>
      </c>
      <c r="I11" s="25">
        <f t="shared" si="3"/>
        <v>30.219736776008439</v>
      </c>
      <c r="J11" s="74"/>
      <c r="K11" s="74"/>
      <c r="S11" s="96"/>
      <c r="U11" s="85"/>
      <c r="AT11" s="85"/>
    </row>
    <row r="12" spans="1:46" x14ac:dyDescent="0.25">
      <c r="A12" s="142">
        <v>10</v>
      </c>
      <c r="B12" s="138">
        <f t="shared" si="0"/>
        <v>46296</v>
      </c>
      <c r="C12" s="144" t="str">
        <f t="shared" si="1"/>
        <v>Oct</v>
      </c>
      <c r="D12" s="144">
        <f t="shared" si="2"/>
        <v>2026</v>
      </c>
      <c r="E12" s="139">
        <v>47.7</v>
      </c>
      <c r="F12" s="139">
        <v>32.6</v>
      </c>
      <c r="G12" s="74"/>
      <c r="H12" s="25">
        <f t="shared" si="5"/>
        <v>49.535444818405587</v>
      </c>
      <c r="I12" s="25">
        <f t="shared" si="3"/>
        <v>33.854413020545536</v>
      </c>
      <c r="J12" s="74"/>
      <c r="K12" s="74"/>
      <c r="S12" s="96"/>
      <c r="U12" s="85"/>
      <c r="AT12" s="85"/>
    </row>
    <row r="13" spans="1:46" x14ac:dyDescent="0.25">
      <c r="A13" s="142">
        <v>11</v>
      </c>
      <c r="B13" s="138">
        <f t="shared" si="0"/>
        <v>46327</v>
      </c>
      <c r="C13" s="144" t="str">
        <f t="shared" si="1"/>
        <v>Nov</v>
      </c>
      <c r="D13" s="144">
        <f t="shared" si="2"/>
        <v>2026</v>
      </c>
      <c r="E13" s="139">
        <v>47.7</v>
      </c>
      <c r="F13" s="139">
        <v>37</v>
      </c>
      <c r="G13" s="74"/>
      <c r="H13" s="25">
        <f t="shared" si="5"/>
        <v>49.535444818405587</v>
      </c>
      <c r="I13" s="25">
        <f t="shared" si="3"/>
        <v>38.423720299392173</v>
      </c>
      <c r="J13" s="74"/>
      <c r="K13" s="74"/>
      <c r="U13" s="85"/>
      <c r="AT13" s="85"/>
    </row>
    <row r="14" spans="1:46" x14ac:dyDescent="0.25">
      <c r="A14" s="142">
        <v>12</v>
      </c>
      <c r="B14" s="138">
        <f t="shared" si="0"/>
        <v>46357</v>
      </c>
      <c r="C14" s="144" t="str">
        <f t="shared" si="1"/>
        <v>Dec</v>
      </c>
      <c r="D14" s="144">
        <f t="shared" si="2"/>
        <v>2026</v>
      </c>
      <c r="E14" s="139">
        <v>56.15</v>
      </c>
      <c r="F14" s="139">
        <v>46.2</v>
      </c>
      <c r="G14" s="74"/>
      <c r="H14" s="25">
        <f t="shared" si="5"/>
        <v>58.310591751645141</v>
      </c>
      <c r="I14" s="25">
        <f t="shared" si="3"/>
        <v>47.977726427889685</v>
      </c>
      <c r="J14" s="74"/>
      <c r="K14" s="74"/>
      <c r="U14" s="85"/>
      <c r="AT14" s="85"/>
    </row>
    <row r="15" spans="1:46" x14ac:dyDescent="0.25">
      <c r="A15" s="142">
        <v>13</v>
      </c>
      <c r="B15" s="138">
        <f t="shared" si="0"/>
        <v>46388</v>
      </c>
      <c r="C15" s="144" t="str">
        <f t="shared" si="1"/>
        <v>Jan</v>
      </c>
      <c r="D15" s="144">
        <f t="shared" si="2"/>
        <v>2027</v>
      </c>
      <c r="E15" s="139">
        <v>78.95</v>
      </c>
      <c r="F15" s="139">
        <v>65.150000000000006</v>
      </c>
      <c r="G15" s="74"/>
      <c r="H15" s="25">
        <f t="shared" ref="H15:H62" si="6">IFERROR(IF(ISNUMBER(E15),E15*ELEC_Zone_Adjust,H3*(1+Inflation+BLS_Esc_Rate)),"Missing Data")</f>
        <v>81.98791128748681</v>
      </c>
      <c r="I15" s="25">
        <f t="shared" ref="I15:I62" si="7">IFERROR(IF(ISNUMBER(F15),F15*ELEC_Zone_Adjust,I3*(1+BLS_Esc_Rate)),"Missing Data")</f>
        <v>67.656902094740545</v>
      </c>
      <c r="J15" s="74"/>
      <c r="K15" s="179"/>
      <c r="U15" s="85"/>
      <c r="AT15" s="85"/>
    </row>
    <row r="16" spans="1:46" x14ac:dyDescent="0.25">
      <c r="A16" s="142">
        <v>14</v>
      </c>
      <c r="B16" s="138">
        <f t="shared" si="0"/>
        <v>46419</v>
      </c>
      <c r="C16" s="144" t="str">
        <f t="shared" si="1"/>
        <v>Feb</v>
      </c>
      <c r="D16" s="144">
        <f t="shared" si="2"/>
        <v>2027</v>
      </c>
      <c r="E16" s="139">
        <v>66.75</v>
      </c>
      <c r="F16" s="139">
        <v>55.85</v>
      </c>
      <c r="G16" s="74"/>
      <c r="H16" s="25">
        <f t="shared" si="6"/>
        <v>69.318468377957501</v>
      </c>
      <c r="I16" s="25">
        <f t="shared" si="7"/>
        <v>57.999048073541964</v>
      </c>
      <c r="J16" s="74"/>
      <c r="K16" s="74"/>
      <c r="AT16" s="85"/>
    </row>
    <row r="17" spans="1:11" x14ac:dyDescent="0.25">
      <c r="A17" s="142">
        <v>15</v>
      </c>
      <c r="B17" s="138">
        <f t="shared" si="0"/>
        <v>46447</v>
      </c>
      <c r="C17" s="144" t="str">
        <f t="shared" si="1"/>
        <v>Mar</v>
      </c>
      <c r="D17" s="144">
        <f t="shared" si="2"/>
        <v>2027</v>
      </c>
      <c r="E17" s="139">
        <v>50.55</v>
      </c>
      <c r="F17" s="139">
        <v>41.6</v>
      </c>
      <c r="G17" s="74"/>
      <c r="H17" s="25">
        <f t="shared" si="6"/>
        <v>52.495109760385787</v>
      </c>
      <c r="I17" s="25">
        <f t="shared" si="7"/>
        <v>43.200723363640925</v>
      </c>
      <c r="J17" s="74"/>
      <c r="K17" s="179"/>
    </row>
    <row r="18" spans="1:11" x14ac:dyDescent="0.25">
      <c r="A18" s="142">
        <v>16</v>
      </c>
      <c r="B18" s="138">
        <f t="shared" si="0"/>
        <v>46478</v>
      </c>
      <c r="C18" s="144" t="str">
        <f t="shared" si="1"/>
        <v>Apr</v>
      </c>
      <c r="D18" s="144">
        <f t="shared" si="2"/>
        <v>2027</v>
      </c>
      <c r="E18" s="139">
        <v>51</v>
      </c>
      <c r="F18" s="139">
        <v>38.700000000000003</v>
      </c>
      <c r="G18" s="74"/>
      <c r="H18" s="25">
        <f t="shared" si="6"/>
        <v>52.962425277540561</v>
      </c>
      <c r="I18" s="25">
        <f t="shared" si="7"/>
        <v>40.18913447531019</v>
      </c>
      <c r="J18" s="74"/>
      <c r="K18" s="74"/>
    </row>
    <row r="19" spans="1:11" x14ac:dyDescent="0.25">
      <c r="A19" s="142">
        <v>17</v>
      </c>
      <c r="B19" s="138">
        <f t="shared" si="0"/>
        <v>46508</v>
      </c>
      <c r="C19" s="144" t="str">
        <f t="shared" si="1"/>
        <v>May</v>
      </c>
      <c r="D19" s="144">
        <f t="shared" si="2"/>
        <v>2027</v>
      </c>
      <c r="E19" s="139">
        <v>51.5</v>
      </c>
      <c r="F19" s="139">
        <v>33.549999999999997</v>
      </c>
      <c r="G19" s="74"/>
      <c r="H19" s="25">
        <f t="shared" si="6"/>
        <v>53.481664741045861</v>
      </c>
      <c r="I19" s="25">
        <f t="shared" si="7"/>
        <v>34.840968001205603</v>
      </c>
      <c r="J19" s="74"/>
      <c r="K19" s="74"/>
    </row>
    <row r="20" spans="1:11" x14ac:dyDescent="0.25">
      <c r="A20" s="142">
        <v>18</v>
      </c>
      <c r="B20" s="138">
        <f t="shared" si="0"/>
        <v>46539</v>
      </c>
      <c r="C20" s="144" t="str">
        <f t="shared" si="1"/>
        <v>Jun</v>
      </c>
      <c r="D20" s="144">
        <f t="shared" si="2"/>
        <v>2027</v>
      </c>
      <c r="E20" s="139">
        <v>57.9</v>
      </c>
      <c r="F20" s="139">
        <v>34</v>
      </c>
      <c r="G20" s="74"/>
      <c r="H20" s="25">
        <f t="shared" si="6"/>
        <v>60.127929873913693</v>
      </c>
      <c r="I20" s="25">
        <f t="shared" si="7"/>
        <v>35.308283518360369</v>
      </c>
      <c r="J20" s="74"/>
    </row>
    <row r="21" spans="1:11" x14ac:dyDescent="0.25">
      <c r="A21" s="142">
        <v>19</v>
      </c>
      <c r="B21" s="138">
        <f t="shared" si="0"/>
        <v>46569</v>
      </c>
      <c r="C21" s="144" t="str">
        <f t="shared" si="1"/>
        <v>Jul</v>
      </c>
      <c r="D21" s="144">
        <f t="shared" si="2"/>
        <v>2027</v>
      </c>
      <c r="E21" s="139">
        <v>85</v>
      </c>
      <c r="F21" s="139">
        <v>43</v>
      </c>
      <c r="G21" s="74"/>
      <c r="H21" s="25">
        <f t="shared" si="6"/>
        <v>88.27070879590093</v>
      </c>
      <c r="I21" s="25">
        <f t="shared" si="7"/>
        <v>44.654593861455766</v>
      </c>
      <c r="J21" s="74"/>
    </row>
    <row r="22" spans="1:11" x14ac:dyDescent="0.25">
      <c r="A22" s="142">
        <v>20</v>
      </c>
      <c r="B22" s="138">
        <f t="shared" si="0"/>
        <v>46600</v>
      </c>
      <c r="C22" s="144" t="str">
        <f t="shared" si="1"/>
        <v>Aug</v>
      </c>
      <c r="D22" s="144">
        <f t="shared" si="2"/>
        <v>2027</v>
      </c>
      <c r="E22" s="139">
        <v>74.349999999999994</v>
      </c>
      <c r="F22" s="139">
        <v>37.049999999999997</v>
      </c>
      <c r="G22" s="74"/>
      <c r="H22" s="25">
        <f t="shared" si="6"/>
        <v>77.21090822323805</v>
      </c>
      <c r="I22" s="25">
        <f t="shared" si="7"/>
        <v>38.4756442457427</v>
      </c>
      <c r="J22" s="74"/>
    </row>
    <row r="23" spans="1:11" x14ac:dyDescent="0.25">
      <c r="A23" s="142">
        <v>21</v>
      </c>
      <c r="B23" s="138">
        <f t="shared" si="0"/>
        <v>46631</v>
      </c>
      <c r="C23" s="144" t="str">
        <f t="shared" si="1"/>
        <v>Sep</v>
      </c>
      <c r="D23" s="144">
        <f t="shared" si="2"/>
        <v>2027</v>
      </c>
      <c r="E23" s="139">
        <v>56.3</v>
      </c>
      <c r="F23" s="139">
        <v>34.049999999999997</v>
      </c>
      <c r="G23" s="74"/>
      <c r="H23" s="25">
        <f t="shared" si="6"/>
        <v>58.46636359069673</v>
      </c>
      <c r="I23" s="25">
        <f t="shared" si="7"/>
        <v>35.360207464710896</v>
      </c>
      <c r="J23" s="74"/>
    </row>
    <row r="24" spans="1:11" x14ac:dyDescent="0.25">
      <c r="A24" s="142">
        <v>22</v>
      </c>
      <c r="B24" s="138">
        <f t="shared" si="0"/>
        <v>46661</v>
      </c>
      <c r="C24" s="144" t="str">
        <f t="shared" si="1"/>
        <v>Oct</v>
      </c>
      <c r="D24" s="144">
        <f t="shared" si="2"/>
        <v>2027</v>
      </c>
      <c r="E24" s="139">
        <v>53.9</v>
      </c>
      <c r="F24" s="139">
        <v>37.450000000000003</v>
      </c>
      <c r="G24" s="74"/>
      <c r="H24" s="25">
        <f t="shared" si="6"/>
        <v>55.974014165871296</v>
      </c>
      <c r="I24" s="25">
        <f t="shared" si="7"/>
        <v>38.891035816546939</v>
      </c>
      <c r="J24" s="74"/>
    </row>
    <row r="25" spans="1:11" x14ac:dyDescent="0.25">
      <c r="A25" s="142">
        <v>23</v>
      </c>
      <c r="B25" s="138">
        <f t="shared" si="0"/>
        <v>46692</v>
      </c>
      <c r="C25" s="144" t="str">
        <f t="shared" si="1"/>
        <v>Nov</v>
      </c>
      <c r="D25" s="144">
        <f t="shared" si="2"/>
        <v>2027</v>
      </c>
      <c r="E25" s="139">
        <v>52.5</v>
      </c>
      <c r="F25" s="139">
        <v>42</v>
      </c>
      <c r="G25" s="74"/>
      <c r="H25" s="25">
        <f t="shared" si="6"/>
        <v>54.520143668056456</v>
      </c>
      <c r="I25" s="25">
        <f t="shared" si="7"/>
        <v>43.616114934445164</v>
      </c>
      <c r="J25" s="74"/>
    </row>
    <row r="26" spans="1:11" x14ac:dyDescent="0.25">
      <c r="A26" s="142">
        <v>24</v>
      </c>
      <c r="B26" s="138">
        <f t="shared" si="0"/>
        <v>46722</v>
      </c>
      <c r="C26" s="144" t="str">
        <f t="shared" si="1"/>
        <v>Dec</v>
      </c>
      <c r="D26" s="144">
        <f t="shared" si="2"/>
        <v>2027</v>
      </c>
      <c r="E26" s="139">
        <v>61.7</v>
      </c>
      <c r="F26" s="139">
        <v>51.8</v>
      </c>
      <c r="G26" s="74"/>
      <c r="H26" s="25">
        <f t="shared" si="6"/>
        <v>64.074149796553968</v>
      </c>
      <c r="I26" s="25">
        <f t="shared" si="7"/>
        <v>53.793208419149032</v>
      </c>
      <c r="J26" s="74"/>
    </row>
    <row r="27" spans="1:11" x14ac:dyDescent="0.25">
      <c r="A27" s="142">
        <v>25</v>
      </c>
      <c r="B27" s="138">
        <f t="shared" si="0"/>
        <v>46753</v>
      </c>
      <c r="C27" s="144" t="str">
        <f t="shared" si="1"/>
        <v>Jan</v>
      </c>
      <c r="D27" s="144">
        <f t="shared" si="2"/>
        <v>2028</v>
      </c>
      <c r="E27" s="139">
        <v>85.55</v>
      </c>
      <c r="F27" s="139">
        <v>70.45</v>
      </c>
      <c r="H27" s="25">
        <f t="shared" si="6"/>
        <v>88.841872205756758</v>
      </c>
      <c r="I27" s="25">
        <f t="shared" si="7"/>
        <v>73.160840407896714</v>
      </c>
    </row>
    <row r="28" spans="1:11" x14ac:dyDescent="0.25">
      <c r="A28" s="142">
        <v>26</v>
      </c>
      <c r="B28" s="138">
        <f t="shared" si="0"/>
        <v>46784</v>
      </c>
      <c r="C28" s="144" t="str">
        <f t="shared" si="1"/>
        <v>Feb</v>
      </c>
      <c r="D28" s="144">
        <f t="shared" si="2"/>
        <v>2028</v>
      </c>
      <c r="E28" s="139">
        <v>72.95</v>
      </c>
      <c r="F28" s="139">
        <v>61.75</v>
      </c>
      <c r="H28" s="25">
        <f t="shared" si="6"/>
        <v>75.757037725423217</v>
      </c>
      <c r="I28" s="25">
        <f t="shared" si="7"/>
        <v>64.126073742904495</v>
      </c>
    </row>
    <row r="29" spans="1:11" x14ac:dyDescent="0.25">
      <c r="A29" s="142">
        <v>27</v>
      </c>
      <c r="B29" s="138">
        <f t="shared" si="0"/>
        <v>46813</v>
      </c>
      <c r="C29" s="144" t="str">
        <f t="shared" si="1"/>
        <v>Mar</v>
      </c>
      <c r="D29" s="144">
        <f t="shared" si="2"/>
        <v>2028</v>
      </c>
      <c r="E29" s="139">
        <v>51.95</v>
      </c>
      <c r="F29" s="139">
        <v>43</v>
      </c>
      <c r="H29" s="25">
        <f t="shared" si="6"/>
        <v>53.948980258200628</v>
      </c>
      <c r="I29" s="25">
        <f t="shared" si="7"/>
        <v>44.654593861455766</v>
      </c>
    </row>
    <row r="30" spans="1:11" x14ac:dyDescent="0.25">
      <c r="A30" s="142">
        <v>28</v>
      </c>
      <c r="B30" s="138">
        <f t="shared" si="0"/>
        <v>46844</v>
      </c>
      <c r="C30" s="144" t="str">
        <f t="shared" si="1"/>
        <v>Apr</v>
      </c>
      <c r="D30" s="144">
        <f t="shared" si="2"/>
        <v>2028</v>
      </c>
      <c r="E30" s="139">
        <v>51.25</v>
      </c>
      <c r="F30" s="139">
        <v>39.299999999999997</v>
      </c>
      <c r="H30" s="25">
        <f t="shared" si="6"/>
        <v>53.222045009293211</v>
      </c>
      <c r="I30" s="25">
        <f t="shared" si="7"/>
        <v>40.812221831516545</v>
      </c>
    </row>
    <row r="31" spans="1:11" x14ac:dyDescent="0.25">
      <c r="A31" s="142">
        <v>29</v>
      </c>
      <c r="B31" s="138">
        <f t="shared" si="0"/>
        <v>46874</v>
      </c>
      <c r="C31" s="144" t="str">
        <f t="shared" si="1"/>
        <v>May</v>
      </c>
      <c r="D31" s="144">
        <f t="shared" si="2"/>
        <v>2028</v>
      </c>
      <c r="E31" s="139">
        <v>51.65</v>
      </c>
      <c r="F31" s="139">
        <v>33.35</v>
      </c>
      <c r="H31" s="25">
        <f t="shared" si="6"/>
        <v>53.637436580097443</v>
      </c>
      <c r="I31" s="25">
        <f t="shared" si="7"/>
        <v>34.633272215803487</v>
      </c>
    </row>
    <row r="32" spans="1:11" x14ac:dyDescent="0.25">
      <c r="A32" s="142">
        <v>30</v>
      </c>
      <c r="B32" s="138">
        <f t="shared" si="0"/>
        <v>46905</v>
      </c>
      <c r="C32" s="144" t="str">
        <f t="shared" si="1"/>
        <v>Jun</v>
      </c>
      <c r="D32" s="144">
        <f t="shared" si="2"/>
        <v>2028</v>
      </c>
      <c r="E32" s="139">
        <v>58.2</v>
      </c>
      <c r="F32" s="139">
        <v>33.549999999999997</v>
      </c>
      <c r="H32" s="25">
        <f t="shared" si="6"/>
        <v>60.439473552016878</v>
      </c>
      <c r="I32" s="25">
        <f t="shared" si="7"/>
        <v>34.840968001205603</v>
      </c>
    </row>
    <row r="33" spans="1:9" x14ac:dyDescent="0.25">
      <c r="A33" s="142">
        <v>31</v>
      </c>
      <c r="B33" s="138">
        <f t="shared" si="0"/>
        <v>46935</v>
      </c>
      <c r="C33" s="144" t="str">
        <f t="shared" si="1"/>
        <v>Jul</v>
      </c>
      <c r="D33" s="144">
        <f t="shared" si="2"/>
        <v>2028</v>
      </c>
      <c r="E33" s="139">
        <v>87.45</v>
      </c>
      <c r="F33" s="139">
        <v>41.7</v>
      </c>
      <c r="H33" s="25">
        <f t="shared" si="6"/>
        <v>90.814982167076906</v>
      </c>
      <c r="I33" s="25">
        <f t="shared" si="7"/>
        <v>43.304571256341987</v>
      </c>
    </row>
    <row r="34" spans="1:9" x14ac:dyDescent="0.25">
      <c r="A34" s="142">
        <v>32</v>
      </c>
      <c r="B34" s="138">
        <f t="shared" si="0"/>
        <v>46966</v>
      </c>
      <c r="C34" s="144" t="str">
        <f t="shared" si="1"/>
        <v>Aug</v>
      </c>
      <c r="D34" s="144">
        <f t="shared" si="2"/>
        <v>2028</v>
      </c>
      <c r="E34" s="139">
        <v>76.3</v>
      </c>
      <c r="F34" s="139">
        <v>38.299999999999997</v>
      </c>
      <c r="H34" s="25">
        <f t="shared" si="6"/>
        <v>79.235942130908711</v>
      </c>
      <c r="I34" s="25">
        <f t="shared" si="7"/>
        <v>39.773742904505944</v>
      </c>
    </row>
    <row r="35" spans="1:9" x14ac:dyDescent="0.25">
      <c r="A35" s="142">
        <v>33</v>
      </c>
      <c r="B35" s="138">
        <f t="shared" ref="B35:B62" si="8">DATE(Start_Year-1,A35,1)</f>
        <v>46997</v>
      </c>
      <c r="C35" s="144" t="str">
        <f t="shared" ref="C35:C62" si="9">CHOOSE(MONTH(B35), "Jan", "Feb", "Mar", "Apr", "May", "Jun", "Jul", "Aug", "Sep", "Oct", "Nov", "Dec")</f>
        <v>Sep</v>
      </c>
      <c r="D35" s="144">
        <f t="shared" ref="D35:D62" si="10">YEAR(B35)</f>
        <v>2028</v>
      </c>
      <c r="E35" s="139">
        <v>56.75</v>
      </c>
      <c r="F35" s="139">
        <v>31.05</v>
      </c>
      <c r="H35" s="25">
        <f t="shared" si="6"/>
        <v>58.933679107851503</v>
      </c>
      <c r="I35" s="25">
        <f t="shared" si="7"/>
        <v>32.244770683679107</v>
      </c>
    </row>
    <row r="36" spans="1:9" x14ac:dyDescent="0.25">
      <c r="A36" s="142">
        <v>34</v>
      </c>
      <c r="B36" s="138">
        <f t="shared" si="8"/>
        <v>47027</v>
      </c>
      <c r="C36" s="144" t="str">
        <f t="shared" si="9"/>
        <v>Oct</v>
      </c>
      <c r="D36" s="144">
        <f t="shared" si="10"/>
        <v>2028</v>
      </c>
      <c r="E36" s="139">
        <v>53.85</v>
      </c>
      <c r="F36" s="139">
        <v>36.799999999999997</v>
      </c>
      <c r="H36" s="25">
        <f t="shared" si="6"/>
        <v>55.922090219520769</v>
      </c>
      <c r="I36" s="25">
        <f t="shared" si="7"/>
        <v>38.21602451399005</v>
      </c>
    </row>
    <row r="37" spans="1:9" x14ac:dyDescent="0.25">
      <c r="A37" s="142">
        <v>35</v>
      </c>
      <c r="B37" s="138">
        <f t="shared" si="8"/>
        <v>47058</v>
      </c>
      <c r="C37" s="144" t="str">
        <f t="shared" si="9"/>
        <v>Nov</v>
      </c>
      <c r="D37" s="144">
        <f t="shared" si="10"/>
        <v>2028</v>
      </c>
      <c r="E37" s="139">
        <v>52.8</v>
      </c>
      <c r="F37" s="139">
        <v>42.45</v>
      </c>
      <c r="H37" s="25">
        <f t="shared" si="6"/>
        <v>54.831687346159633</v>
      </c>
      <c r="I37" s="25">
        <f t="shared" si="7"/>
        <v>44.083430451599938</v>
      </c>
    </row>
    <row r="38" spans="1:9" x14ac:dyDescent="0.25">
      <c r="A38" s="142">
        <v>36</v>
      </c>
      <c r="B38" s="138">
        <f t="shared" si="8"/>
        <v>47088</v>
      </c>
      <c r="C38" s="144" t="str">
        <f t="shared" si="9"/>
        <v>Dec</v>
      </c>
      <c r="D38" s="144">
        <f t="shared" si="10"/>
        <v>2028</v>
      </c>
      <c r="E38" s="139">
        <v>61.45</v>
      </c>
      <c r="F38" s="139">
        <v>51.1</v>
      </c>
      <c r="H38" s="25">
        <f t="shared" si="6"/>
        <v>63.814530064801325</v>
      </c>
      <c r="I38" s="25">
        <f t="shared" si="7"/>
        <v>53.066273170241622</v>
      </c>
    </row>
    <row r="39" spans="1:9" x14ac:dyDescent="0.25">
      <c r="A39" s="142">
        <v>37</v>
      </c>
      <c r="B39" s="138">
        <f t="shared" si="8"/>
        <v>47119</v>
      </c>
      <c r="C39" s="144" t="str">
        <f t="shared" si="9"/>
        <v>Jan</v>
      </c>
      <c r="D39" s="144">
        <f t="shared" si="10"/>
        <v>2029</v>
      </c>
      <c r="E39" s="139">
        <v>82.5</v>
      </c>
      <c r="F39" s="139">
        <v>70.650000000000006</v>
      </c>
      <c r="H39" s="25">
        <f t="shared" si="6"/>
        <v>85.674511478374427</v>
      </c>
      <c r="I39" s="25">
        <f t="shared" si="7"/>
        <v>73.368536193298837</v>
      </c>
    </row>
    <row r="40" spans="1:9" x14ac:dyDescent="0.25">
      <c r="A40" s="142">
        <v>38</v>
      </c>
      <c r="B40" s="138">
        <f t="shared" si="8"/>
        <v>47150</v>
      </c>
      <c r="C40" s="144" t="str">
        <f t="shared" si="9"/>
        <v>Feb</v>
      </c>
      <c r="D40" s="144">
        <f t="shared" si="10"/>
        <v>2029</v>
      </c>
      <c r="E40" s="139">
        <v>76.5</v>
      </c>
      <c r="F40" s="139">
        <v>64.05</v>
      </c>
      <c r="H40" s="25">
        <f t="shared" si="6"/>
        <v>79.443637916310834</v>
      </c>
      <c r="I40" s="25">
        <f t="shared" si="7"/>
        <v>66.514575275028875</v>
      </c>
    </row>
    <row r="41" spans="1:9" x14ac:dyDescent="0.25">
      <c r="A41" s="142">
        <v>39</v>
      </c>
      <c r="B41" s="138">
        <f t="shared" si="8"/>
        <v>47178</v>
      </c>
      <c r="C41" s="144" t="str">
        <f t="shared" si="9"/>
        <v>Mar</v>
      </c>
      <c r="D41" s="144">
        <f t="shared" si="10"/>
        <v>2029</v>
      </c>
      <c r="E41" s="139">
        <v>51.95</v>
      </c>
      <c r="F41" s="139">
        <v>42.4</v>
      </c>
      <c r="H41" s="25">
        <f t="shared" si="6"/>
        <v>53.948980258200628</v>
      </c>
      <c r="I41" s="25">
        <f t="shared" si="7"/>
        <v>44.031506505249403</v>
      </c>
    </row>
    <row r="42" spans="1:9" x14ac:dyDescent="0.25">
      <c r="A42" s="142">
        <v>40</v>
      </c>
      <c r="B42" s="138">
        <f t="shared" si="8"/>
        <v>47209</v>
      </c>
      <c r="C42" s="144" t="str">
        <f t="shared" si="9"/>
        <v>Apr</v>
      </c>
      <c r="D42" s="144">
        <f t="shared" si="10"/>
        <v>2029</v>
      </c>
      <c r="E42" s="139">
        <v>50.7</v>
      </c>
      <c r="F42" s="139">
        <v>37.35</v>
      </c>
      <c r="H42" s="25">
        <f t="shared" si="6"/>
        <v>52.650881599437383</v>
      </c>
      <c r="I42" s="25">
        <f t="shared" si="7"/>
        <v>38.787187923845885</v>
      </c>
    </row>
    <row r="43" spans="1:9" x14ac:dyDescent="0.25">
      <c r="A43" s="142">
        <v>41</v>
      </c>
      <c r="B43" s="138">
        <f t="shared" si="8"/>
        <v>47239</v>
      </c>
      <c r="C43" s="144" t="str">
        <f t="shared" si="9"/>
        <v>May</v>
      </c>
      <c r="D43" s="144">
        <f t="shared" si="10"/>
        <v>2029</v>
      </c>
      <c r="E43" s="139">
        <v>51.45</v>
      </c>
      <c r="F43" s="139">
        <v>34.9</v>
      </c>
      <c r="H43" s="25">
        <f t="shared" si="6"/>
        <v>53.429740794695334</v>
      </c>
      <c r="I43" s="25">
        <f t="shared" si="7"/>
        <v>36.242914552669909</v>
      </c>
    </row>
    <row r="44" spans="1:9" x14ac:dyDescent="0.25">
      <c r="A44" s="142">
        <v>42</v>
      </c>
      <c r="B44" s="138">
        <f t="shared" si="8"/>
        <v>47270</v>
      </c>
      <c r="C44" s="144" t="str">
        <f t="shared" si="9"/>
        <v>Jun</v>
      </c>
      <c r="D44" s="144">
        <f t="shared" si="10"/>
        <v>2029</v>
      </c>
      <c r="E44" s="139">
        <v>57.15</v>
      </c>
      <c r="F44" s="139">
        <v>34.15</v>
      </c>
      <c r="H44" s="25">
        <f t="shared" si="6"/>
        <v>59.349070678655742</v>
      </c>
      <c r="I44" s="25">
        <f t="shared" si="7"/>
        <v>35.464055357411958</v>
      </c>
    </row>
    <row r="45" spans="1:9" x14ac:dyDescent="0.25">
      <c r="A45" s="142">
        <v>43</v>
      </c>
      <c r="B45" s="138">
        <f t="shared" si="8"/>
        <v>47300</v>
      </c>
      <c r="C45" s="144" t="str">
        <f t="shared" si="9"/>
        <v>Jul</v>
      </c>
      <c r="D45" s="144">
        <f t="shared" si="10"/>
        <v>2029</v>
      </c>
      <c r="E45" s="139">
        <v>88.2</v>
      </c>
      <c r="F45" s="139">
        <v>40.9</v>
      </c>
      <c r="H45" s="25">
        <f t="shared" si="6"/>
        <v>91.593841362334857</v>
      </c>
      <c r="I45" s="25">
        <f t="shared" si="7"/>
        <v>42.473788114733502</v>
      </c>
    </row>
    <row r="46" spans="1:9" x14ac:dyDescent="0.25">
      <c r="A46" s="142">
        <v>44</v>
      </c>
      <c r="B46" s="138">
        <f t="shared" si="8"/>
        <v>47331</v>
      </c>
      <c r="C46" s="144" t="str">
        <f t="shared" si="9"/>
        <v>Aug</v>
      </c>
      <c r="D46" s="144">
        <f t="shared" si="10"/>
        <v>2029</v>
      </c>
      <c r="E46" s="139">
        <v>77.45</v>
      </c>
      <c r="F46" s="139">
        <v>37.6</v>
      </c>
      <c r="H46" s="25">
        <f t="shared" si="6"/>
        <v>80.430192896970908</v>
      </c>
      <c r="I46" s="25">
        <f t="shared" si="7"/>
        <v>39.046807655598528</v>
      </c>
    </row>
    <row r="47" spans="1:9" x14ac:dyDescent="0.25">
      <c r="A47" s="142">
        <v>45</v>
      </c>
      <c r="B47" s="138">
        <f t="shared" si="8"/>
        <v>47362</v>
      </c>
      <c r="C47" s="144" t="str">
        <f t="shared" si="9"/>
        <v>Sep</v>
      </c>
      <c r="D47" s="144">
        <f t="shared" si="10"/>
        <v>2029</v>
      </c>
      <c r="E47" s="139">
        <v>55.95</v>
      </c>
      <c r="F47" s="139">
        <v>34.450000000000003</v>
      </c>
      <c r="H47" s="25">
        <f t="shared" si="6"/>
        <v>58.102895966243025</v>
      </c>
      <c r="I47" s="25">
        <f t="shared" si="7"/>
        <v>35.775599035515143</v>
      </c>
    </row>
    <row r="48" spans="1:9" x14ac:dyDescent="0.25">
      <c r="A48" s="142">
        <v>46</v>
      </c>
      <c r="B48" s="138">
        <f t="shared" si="8"/>
        <v>47392</v>
      </c>
      <c r="C48" s="144" t="str">
        <f t="shared" si="9"/>
        <v>Oct</v>
      </c>
      <c r="D48" s="144">
        <f t="shared" si="10"/>
        <v>2029</v>
      </c>
      <c r="E48" s="139">
        <v>51.05</v>
      </c>
      <c r="F48" s="139">
        <v>35.35</v>
      </c>
      <c r="H48" s="25">
        <f t="shared" si="6"/>
        <v>53.014349223891088</v>
      </c>
      <c r="I48" s="25">
        <f t="shared" si="7"/>
        <v>36.710230069824682</v>
      </c>
    </row>
    <row r="49" spans="1:9" x14ac:dyDescent="0.25">
      <c r="A49" s="142">
        <v>47</v>
      </c>
      <c r="B49" s="138">
        <f t="shared" si="8"/>
        <v>47423</v>
      </c>
      <c r="C49" s="144" t="str">
        <f t="shared" si="9"/>
        <v>Nov</v>
      </c>
      <c r="D49" s="144">
        <f t="shared" si="10"/>
        <v>2029</v>
      </c>
      <c r="E49" s="139">
        <v>54.25</v>
      </c>
      <c r="F49" s="139">
        <v>40.549999999999997</v>
      </c>
      <c r="H49" s="25">
        <f t="shared" si="6"/>
        <v>56.337481790325008</v>
      </c>
      <c r="I49" s="25">
        <f t="shared" si="7"/>
        <v>42.110320490279797</v>
      </c>
    </row>
    <row r="50" spans="1:9" x14ac:dyDescent="0.25">
      <c r="A50" s="142">
        <v>48</v>
      </c>
      <c r="B50" s="138">
        <f t="shared" si="8"/>
        <v>47453</v>
      </c>
      <c r="C50" s="144" t="str">
        <f t="shared" si="9"/>
        <v>Dec</v>
      </c>
      <c r="D50" s="144">
        <f t="shared" si="10"/>
        <v>2029</v>
      </c>
      <c r="E50" s="139">
        <v>65</v>
      </c>
      <c r="F50" s="139">
        <v>50.3</v>
      </c>
      <c r="H50" s="25">
        <f t="shared" si="6"/>
        <v>67.501130255688949</v>
      </c>
      <c r="I50" s="25">
        <f t="shared" si="7"/>
        <v>52.235490028633137</v>
      </c>
    </row>
    <row r="51" spans="1:9" x14ac:dyDescent="0.25">
      <c r="A51" s="142">
        <v>49</v>
      </c>
      <c r="B51" s="138">
        <f t="shared" si="8"/>
        <v>47484</v>
      </c>
      <c r="C51" s="144" t="str">
        <f t="shared" si="9"/>
        <v>Jan</v>
      </c>
      <c r="D51" s="144">
        <f t="shared" si="10"/>
        <v>2030</v>
      </c>
      <c r="E51" s="139">
        <v>83.2</v>
      </c>
      <c r="F51" s="139">
        <v>69.150000000000006</v>
      </c>
      <c r="H51" s="25">
        <f t="shared" si="6"/>
        <v>86.401446727281851</v>
      </c>
      <c r="I51" s="25">
        <f t="shared" si="7"/>
        <v>71.810817802782935</v>
      </c>
    </row>
    <row r="52" spans="1:9" x14ac:dyDescent="0.25">
      <c r="A52" s="142">
        <v>50</v>
      </c>
      <c r="B52" s="138">
        <f t="shared" si="8"/>
        <v>47515</v>
      </c>
      <c r="C52" s="144" t="str">
        <f t="shared" si="9"/>
        <v>Feb</v>
      </c>
      <c r="D52" s="144">
        <f t="shared" si="10"/>
        <v>2030</v>
      </c>
      <c r="E52" s="139">
        <v>76.75</v>
      </c>
      <c r="F52" s="139">
        <v>62.7</v>
      </c>
      <c r="H52" s="25">
        <f t="shared" si="6"/>
        <v>79.703257648063484</v>
      </c>
      <c r="I52" s="25">
        <f t="shared" si="7"/>
        <v>65.112628723564569</v>
      </c>
    </row>
    <row r="53" spans="1:9" x14ac:dyDescent="0.25">
      <c r="A53" s="142">
        <v>51</v>
      </c>
      <c r="B53" s="138">
        <f t="shared" si="8"/>
        <v>47543</v>
      </c>
      <c r="C53" s="144" t="str">
        <f t="shared" si="9"/>
        <v>Mar</v>
      </c>
      <c r="D53" s="144">
        <f t="shared" si="10"/>
        <v>2030</v>
      </c>
      <c r="E53" s="139">
        <v>55.8</v>
      </c>
      <c r="F53" s="139">
        <v>46.2</v>
      </c>
      <c r="H53" s="25">
        <f t="shared" si="6"/>
        <v>57.947124127191429</v>
      </c>
      <c r="I53" s="25">
        <f t="shared" si="7"/>
        <v>47.977726427889685</v>
      </c>
    </row>
    <row r="54" spans="1:9" x14ac:dyDescent="0.25">
      <c r="A54" s="142">
        <v>52</v>
      </c>
      <c r="B54" s="138">
        <f t="shared" si="8"/>
        <v>47574</v>
      </c>
      <c r="C54" s="144" t="str">
        <f t="shared" si="9"/>
        <v>Apr</v>
      </c>
      <c r="D54" s="144">
        <f t="shared" si="10"/>
        <v>2030</v>
      </c>
      <c r="E54" s="139">
        <v>52.9</v>
      </c>
      <c r="F54" s="139">
        <v>37.15</v>
      </c>
      <c r="H54" s="25">
        <f t="shared" si="6"/>
        <v>54.935535238860695</v>
      </c>
      <c r="I54" s="25">
        <f t="shared" si="7"/>
        <v>38.579492138443761</v>
      </c>
    </row>
    <row r="55" spans="1:9" x14ac:dyDescent="0.25">
      <c r="A55" s="142">
        <v>53</v>
      </c>
      <c r="B55" s="138">
        <f t="shared" si="8"/>
        <v>47604</v>
      </c>
      <c r="C55" s="144" t="str">
        <f t="shared" si="9"/>
        <v>May</v>
      </c>
      <c r="D55" s="144">
        <f t="shared" si="10"/>
        <v>2030</v>
      </c>
      <c r="E55" s="139">
        <v>54.8</v>
      </c>
      <c r="F55" s="139">
        <v>35.6</v>
      </c>
      <c r="H55" s="25">
        <f t="shared" si="6"/>
        <v>56.908645200180835</v>
      </c>
      <c r="I55" s="25">
        <f t="shared" si="7"/>
        <v>36.969849801577332</v>
      </c>
    </row>
    <row r="56" spans="1:9" x14ac:dyDescent="0.25">
      <c r="A56" s="142">
        <v>54</v>
      </c>
      <c r="B56" s="138">
        <f t="shared" si="8"/>
        <v>47635</v>
      </c>
      <c r="C56" s="144" t="str">
        <f t="shared" si="9"/>
        <v>Jun</v>
      </c>
      <c r="D56" s="144">
        <f t="shared" si="10"/>
        <v>2030</v>
      </c>
      <c r="E56" s="139">
        <v>59</v>
      </c>
      <c r="F56" s="139">
        <v>34.75</v>
      </c>
      <c r="H56" s="25">
        <f t="shared" si="6"/>
        <v>61.270256693625349</v>
      </c>
      <c r="I56" s="25">
        <f t="shared" si="7"/>
        <v>36.08714271361832</v>
      </c>
    </row>
    <row r="57" spans="1:9" x14ac:dyDescent="0.25">
      <c r="A57" s="142">
        <v>55</v>
      </c>
      <c r="B57" s="138">
        <f t="shared" si="8"/>
        <v>47665</v>
      </c>
      <c r="C57" s="144" t="str">
        <f t="shared" si="9"/>
        <v>Jul</v>
      </c>
      <c r="D57" s="144">
        <f t="shared" si="10"/>
        <v>2030</v>
      </c>
      <c r="E57" s="139">
        <v>82.15</v>
      </c>
      <c r="F57" s="139">
        <v>41.75</v>
      </c>
      <c r="H57" s="25">
        <f t="shared" si="6"/>
        <v>85.311043853920722</v>
      </c>
      <c r="I57" s="25">
        <f t="shared" si="7"/>
        <v>43.356495202692514</v>
      </c>
    </row>
    <row r="58" spans="1:9" x14ac:dyDescent="0.25">
      <c r="A58" s="142">
        <v>56</v>
      </c>
      <c r="B58" s="138">
        <f t="shared" si="8"/>
        <v>47696</v>
      </c>
      <c r="C58" s="144" t="str">
        <f t="shared" si="9"/>
        <v>Aug</v>
      </c>
      <c r="D58" s="144">
        <f t="shared" si="10"/>
        <v>2030</v>
      </c>
      <c r="E58" s="139">
        <v>70.849999999999994</v>
      </c>
      <c r="F58" s="139">
        <v>38.4</v>
      </c>
      <c r="H58" s="25">
        <f t="shared" si="6"/>
        <v>73.576231978700946</v>
      </c>
      <c r="I58" s="25">
        <f t="shared" si="7"/>
        <v>39.877590797207006</v>
      </c>
    </row>
    <row r="59" spans="1:9" x14ac:dyDescent="0.25">
      <c r="A59" s="142">
        <v>57</v>
      </c>
      <c r="B59" s="138">
        <f t="shared" si="8"/>
        <v>47727</v>
      </c>
      <c r="C59" s="144" t="str">
        <f t="shared" si="9"/>
        <v>Sep</v>
      </c>
      <c r="D59" s="144">
        <f t="shared" si="10"/>
        <v>2030</v>
      </c>
      <c r="E59" s="139">
        <v>57.25</v>
      </c>
      <c r="F59" s="139">
        <v>34.85</v>
      </c>
      <c r="H59" s="25">
        <f t="shared" si="6"/>
        <v>59.452918571356804</v>
      </c>
      <c r="I59" s="25">
        <f t="shared" si="7"/>
        <v>36.190990606319382</v>
      </c>
    </row>
    <row r="60" spans="1:9" x14ac:dyDescent="0.25">
      <c r="A60" s="142">
        <v>58</v>
      </c>
      <c r="B60" s="138">
        <f t="shared" si="8"/>
        <v>47757</v>
      </c>
      <c r="C60" s="144" t="str">
        <f t="shared" si="9"/>
        <v>Oct</v>
      </c>
      <c r="D60" s="144">
        <f t="shared" si="10"/>
        <v>2030</v>
      </c>
      <c r="E60" s="139">
        <v>52.5</v>
      </c>
      <c r="F60" s="139">
        <v>35.549999999999997</v>
      </c>
      <c r="H60" s="25">
        <f t="shared" si="6"/>
        <v>54.520143668056456</v>
      </c>
      <c r="I60" s="25">
        <f t="shared" si="7"/>
        <v>36.917925855226798</v>
      </c>
    </row>
    <row r="61" spans="1:9" x14ac:dyDescent="0.25">
      <c r="A61" s="142">
        <v>59</v>
      </c>
      <c r="B61" s="138">
        <f t="shared" si="8"/>
        <v>47788</v>
      </c>
      <c r="C61" s="144" t="str">
        <f t="shared" si="9"/>
        <v>Nov</v>
      </c>
      <c r="D61" s="144">
        <f t="shared" si="10"/>
        <v>2030</v>
      </c>
      <c r="E61" s="139">
        <v>56.25</v>
      </c>
      <c r="F61" s="139">
        <v>41</v>
      </c>
      <c r="H61" s="25">
        <f t="shared" si="6"/>
        <v>58.414439644346203</v>
      </c>
      <c r="I61" s="25">
        <f t="shared" si="7"/>
        <v>42.577636007434563</v>
      </c>
    </row>
    <row r="62" spans="1:9" x14ac:dyDescent="0.25">
      <c r="A62" s="143">
        <v>60</v>
      </c>
      <c r="B62" s="138">
        <f t="shared" si="8"/>
        <v>47818</v>
      </c>
      <c r="C62" s="145" t="str">
        <f t="shared" si="9"/>
        <v>Dec</v>
      </c>
      <c r="D62" s="145">
        <f t="shared" si="10"/>
        <v>2030</v>
      </c>
      <c r="E62" s="140">
        <v>68.650000000000006</v>
      </c>
      <c r="F62" s="140">
        <v>55.8</v>
      </c>
      <c r="H62" s="25">
        <f t="shared" si="6"/>
        <v>71.291578339277635</v>
      </c>
      <c r="I62" s="141">
        <f t="shared" si="7"/>
        <v>57.947124127191429</v>
      </c>
    </row>
    <row r="63" spans="1:9" x14ac:dyDescent="0.25">
      <c r="A63" s="329" t="s">
        <v>146</v>
      </c>
      <c r="B63" s="330"/>
      <c r="C63" s="330"/>
      <c r="D63" s="330"/>
      <c r="E63" s="330"/>
      <c r="F63" s="330"/>
      <c r="G63" s="330"/>
      <c r="H63" s="330"/>
      <c r="I63" s="331"/>
    </row>
  </sheetData>
  <mergeCells count="3">
    <mergeCell ref="K2:R2"/>
    <mergeCell ref="A63:I63"/>
    <mergeCell ref="K6:R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72A8C-8EBE-47F0-BF1C-39FDCB30FBC4}">
  <sheetPr codeName="Sheet12">
    <tabColor theme="9" tint="0.79998168889431442"/>
  </sheetPr>
  <dimension ref="B2:AG299"/>
  <sheetViews>
    <sheetView zoomScale="110" zoomScaleNormal="110" workbookViewId="0">
      <pane ySplit="8" topLeftCell="A165" activePane="bottomLeft" state="frozen"/>
      <selection pane="bottomLeft" activeCell="F14" sqref="F14"/>
    </sheetView>
  </sheetViews>
  <sheetFormatPr defaultColWidth="9.140625" defaultRowHeight="12.75" x14ac:dyDescent="0.2"/>
  <cols>
    <col min="1" max="1" width="2.85546875" style="50" customWidth="1"/>
    <col min="2" max="2" width="9.85546875" style="59" customWidth="1"/>
    <col min="3" max="5" width="10.85546875" style="50" customWidth="1"/>
    <col min="6" max="6" width="10.42578125" style="58" customWidth="1"/>
    <col min="7" max="7" width="13.42578125" style="58" customWidth="1"/>
    <col min="8" max="8" width="13.140625" style="58" customWidth="1"/>
    <col min="9" max="9" width="12.140625" style="58" customWidth="1"/>
    <col min="10" max="10" width="8.140625" style="50" customWidth="1"/>
    <col min="11" max="11" width="13.85546875" style="50" customWidth="1"/>
    <col min="12" max="12" width="11.140625" style="50" customWidth="1"/>
    <col min="13" max="16" width="9.140625" style="50"/>
    <col min="17" max="17" width="12.85546875" style="50" customWidth="1"/>
    <col min="18" max="20" width="9.140625" style="50"/>
    <col min="21" max="21" width="13" style="50" customWidth="1"/>
    <col min="22" max="31" width="9.140625" style="50"/>
    <col min="32" max="32" width="10.140625" style="50" customWidth="1"/>
    <col min="33" max="16384" width="9.140625" style="50"/>
  </cols>
  <sheetData>
    <row r="2" spans="2:33" ht="21" x14ac:dyDescent="0.35">
      <c r="B2" s="70" t="s">
        <v>147</v>
      </c>
    </row>
    <row r="3" spans="2:33" x14ac:dyDescent="0.2">
      <c r="B3" s="68" t="s">
        <v>148</v>
      </c>
      <c r="C3" s="69" t="s">
        <v>149</v>
      </c>
      <c r="D3" s="68"/>
      <c r="E3" s="68"/>
      <c r="F3" s="68"/>
      <c r="G3" s="69"/>
      <c r="H3" s="69"/>
      <c r="I3" s="69"/>
      <c r="J3" s="68"/>
      <c r="K3" s="68"/>
    </row>
    <row r="4" spans="2:33" x14ac:dyDescent="0.2">
      <c r="B4" s="67" t="str">
        <f>IF(COUNTIF(F9:F152,"=")&gt;0,"Incomplete","Complete")</f>
        <v>Complete</v>
      </c>
      <c r="C4" s="66" t="s">
        <v>150</v>
      </c>
      <c r="L4" s="232"/>
    </row>
    <row r="5" spans="2:33" x14ac:dyDescent="0.2">
      <c r="B5" s="67" t="str">
        <f>IF(COUNTIF(M11:AF11,"=")&gt;0,"Incomplete","Complete")</f>
        <v>Complete</v>
      </c>
      <c r="C5" s="66" t="s">
        <v>151</v>
      </c>
    </row>
    <row r="7" spans="2:33" x14ac:dyDescent="0.2">
      <c r="G7" s="159"/>
      <c r="L7" s="66"/>
    </row>
    <row r="8" spans="2:33" s="51" customFormat="1" ht="76.5" x14ac:dyDescent="0.2">
      <c r="B8" s="283" t="s">
        <v>135</v>
      </c>
      <c r="C8" s="160" t="s">
        <v>136</v>
      </c>
      <c r="D8" s="160" t="s">
        <v>137</v>
      </c>
      <c r="E8" s="160" t="s">
        <v>120</v>
      </c>
      <c r="F8" s="161" t="s">
        <v>152</v>
      </c>
      <c r="G8" s="161" t="str">
        <f>"NYMEX: "&amp;EDC_NAME&amp;" Natural Gas Price"&amp;CHAR(10)&amp;"(Nominal $/MMBTU)"</f>
        <v>NYMEX: West Penn Natural Gas Price
(Nominal $/MMBTU)</v>
      </c>
      <c r="H8" s="161" t="s">
        <v>153</v>
      </c>
      <c r="I8" s="161" t="str">
        <f>EDC_NAME&amp;" Natural Gas Price"&amp;CHAR(10)&amp;"(Nominal $/MMBTU)"</f>
        <v>West Penn Natural Gas Price
(Nominal $/MMBTU)</v>
      </c>
      <c r="L8" s="333" t="s">
        <v>154</v>
      </c>
      <c r="M8" s="333"/>
      <c r="N8" s="333"/>
      <c r="O8" s="333"/>
      <c r="P8" s="333"/>
      <c r="Q8" s="333"/>
      <c r="R8" s="333"/>
      <c r="S8" s="333"/>
      <c r="T8" s="333"/>
      <c r="U8" s="333"/>
      <c r="V8" s="333"/>
      <c r="W8" s="333"/>
      <c r="X8" s="333"/>
      <c r="Y8" s="333"/>
      <c r="Z8" s="333"/>
      <c r="AA8" s="333"/>
      <c r="AB8" s="333"/>
      <c r="AC8" s="333"/>
      <c r="AD8" s="333"/>
      <c r="AE8" s="333"/>
      <c r="AF8" s="333"/>
      <c r="AG8" s="252"/>
    </row>
    <row r="9" spans="2:33" x14ac:dyDescent="0.2">
      <c r="B9" s="3">
        <v>1</v>
      </c>
      <c r="C9" s="8">
        <f t="shared" ref="C9:C40" si="0">DATE(Start_Year-1,B9,1)</f>
        <v>46023</v>
      </c>
      <c r="D9" s="19" t="str">
        <f t="shared" ref="D9:D40" si="1">CHOOSE(MONTH(C9), "Jan", "Feb", "Mar", "Apr", "May", "Jun", "Jul", "Aug", "Sep", "Oct", "Nov", "Dec")</f>
        <v>Jan</v>
      </c>
      <c r="E9" s="9">
        <f t="shared" ref="E9:E40" si="2">YEAR(C9)</f>
        <v>2026</v>
      </c>
      <c r="F9" s="162">
        <f>Adjustments!U15</f>
        <v>4.1539999999999999</v>
      </c>
      <c r="G9" s="22">
        <f t="shared" ref="G9:G20" si="3">IFERROR(F9+INDEX(NG_Zone_Adjust,MONTH(C9),2),"Data Missing")</f>
        <v>6.7262499999999994</v>
      </c>
      <c r="H9" s="22">
        <f>IFERROR(IFERROR(INDEX(Gas_EIA2,1,MATCH(E9,$L$10:$AF$10,FALSE)),0)*INDEX(NG_Load_Shape,MATCH($D9,Adjustments!$H$3:$H$14,0),1),"Data Missing")</f>
        <v>6.0563187023893201</v>
      </c>
      <c r="I9" s="163">
        <f t="shared" ref="I9:I40" si="4">G9</f>
        <v>6.7262499999999994</v>
      </c>
      <c r="L9" s="283">
        <v>3</v>
      </c>
      <c r="M9" s="283">
        <v>4</v>
      </c>
      <c r="N9" s="283">
        <f t="shared" ref="N9:AG9" si="5">M9+1</f>
        <v>5</v>
      </c>
      <c r="O9" s="283">
        <f t="shared" si="5"/>
        <v>6</v>
      </c>
      <c r="P9" s="283">
        <f t="shared" si="5"/>
        <v>7</v>
      </c>
      <c r="Q9" s="283">
        <f t="shared" si="5"/>
        <v>8</v>
      </c>
      <c r="R9" s="283">
        <f t="shared" si="5"/>
        <v>9</v>
      </c>
      <c r="S9" s="283">
        <f t="shared" si="5"/>
        <v>10</v>
      </c>
      <c r="T9" s="283">
        <f t="shared" si="5"/>
        <v>11</v>
      </c>
      <c r="U9" s="283">
        <f t="shared" si="5"/>
        <v>12</v>
      </c>
      <c r="V9" s="283">
        <f t="shared" si="5"/>
        <v>13</v>
      </c>
      <c r="W9" s="283">
        <f t="shared" si="5"/>
        <v>14</v>
      </c>
      <c r="X9" s="283">
        <f t="shared" si="5"/>
        <v>15</v>
      </c>
      <c r="Y9" s="283">
        <f t="shared" si="5"/>
        <v>16</v>
      </c>
      <c r="Z9" s="283">
        <f t="shared" si="5"/>
        <v>17</v>
      </c>
      <c r="AA9" s="283">
        <f t="shared" si="5"/>
        <v>18</v>
      </c>
      <c r="AB9" s="283">
        <f t="shared" si="5"/>
        <v>19</v>
      </c>
      <c r="AC9" s="283">
        <f t="shared" si="5"/>
        <v>20</v>
      </c>
      <c r="AD9" s="283">
        <f t="shared" si="5"/>
        <v>21</v>
      </c>
      <c r="AE9" s="283">
        <f t="shared" si="5"/>
        <v>22</v>
      </c>
      <c r="AF9" s="283">
        <f t="shared" si="5"/>
        <v>23</v>
      </c>
      <c r="AG9" s="283">
        <f t="shared" si="5"/>
        <v>24</v>
      </c>
    </row>
    <row r="10" spans="2:33" x14ac:dyDescent="0.2">
      <c r="B10" s="3">
        <v>2</v>
      </c>
      <c r="C10" s="8">
        <f t="shared" si="0"/>
        <v>46054</v>
      </c>
      <c r="D10" s="19" t="str">
        <f t="shared" si="1"/>
        <v>Feb</v>
      </c>
      <c r="E10" s="9">
        <f t="shared" si="2"/>
        <v>2026</v>
      </c>
      <c r="F10" s="162">
        <f>Adjustments!U16</f>
        <v>3.9239999999999999</v>
      </c>
      <c r="G10" s="22">
        <f t="shared" si="3"/>
        <v>5.9695</v>
      </c>
      <c r="H10" s="22">
        <f>IFERROR(IFERROR(INDEX(Gas_EIA2,1,MATCH(E10,$L$10:$AF$10,FALSE)),0)*INDEX(NG_Load_Shape,MATCH($D10,Adjustments!$H$3:$H$14,0),1),"Data Missing")</f>
        <v>5.3347554106058483</v>
      </c>
      <c r="I10" s="163">
        <f t="shared" si="4"/>
        <v>5.9695</v>
      </c>
      <c r="K10" s="4" t="s">
        <v>120</v>
      </c>
      <c r="L10" s="283">
        <v>2025</v>
      </c>
      <c r="M10" s="283">
        <f t="shared" ref="M10:AG10" si="6">L10+1</f>
        <v>2026</v>
      </c>
      <c r="N10" s="283">
        <f t="shared" si="6"/>
        <v>2027</v>
      </c>
      <c r="O10" s="283">
        <f t="shared" si="6"/>
        <v>2028</v>
      </c>
      <c r="P10" s="283">
        <f t="shared" si="6"/>
        <v>2029</v>
      </c>
      <c r="Q10" s="283">
        <f t="shared" si="6"/>
        <v>2030</v>
      </c>
      <c r="R10" s="283">
        <f t="shared" si="6"/>
        <v>2031</v>
      </c>
      <c r="S10" s="283">
        <f t="shared" si="6"/>
        <v>2032</v>
      </c>
      <c r="T10" s="283">
        <f t="shared" si="6"/>
        <v>2033</v>
      </c>
      <c r="U10" s="283">
        <f t="shared" si="6"/>
        <v>2034</v>
      </c>
      <c r="V10" s="283">
        <f t="shared" si="6"/>
        <v>2035</v>
      </c>
      <c r="W10" s="283">
        <f t="shared" si="6"/>
        <v>2036</v>
      </c>
      <c r="X10" s="283">
        <f t="shared" si="6"/>
        <v>2037</v>
      </c>
      <c r="Y10" s="283">
        <f t="shared" si="6"/>
        <v>2038</v>
      </c>
      <c r="Z10" s="283">
        <f t="shared" si="6"/>
        <v>2039</v>
      </c>
      <c r="AA10" s="283">
        <f t="shared" si="6"/>
        <v>2040</v>
      </c>
      <c r="AB10" s="283">
        <f t="shared" si="6"/>
        <v>2041</v>
      </c>
      <c r="AC10" s="283">
        <f t="shared" si="6"/>
        <v>2042</v>
      </c>
      <c r="AD10" s="283">
        <f t="shared" si="6"/>
        <v>2043</v>
      </c>
      <c r="AE10" s="283">
        <f t="shared" si="6"/>
        <v>2044</v>
      </c>
      <c r="AF10" s="283">
        <f t="shared" si="6"/>
        <v>2045</v>
      </c>
      <c r="AG10" s="283">
        <f t="shared" si="6"/>
        <v>2046</v>
      </c>
    </row>
    <row r="11" spans="2:33" x14ac:dyDescent="0.2">
      <c r="B11" s="3">
        <v>3</v>
      </c>
      <c r="C11" s="8">
        <f t="shared" si="0"/>
        <v>46082</v>
      </c>
      <c r="D11" s="19" t="str">
        <f t="shared" si="1"/>
        <v>Mar</v>
      </c>
      <c r="E11" s="9">
        <f t="shared" si="2"/>
        <v>2026</v>
      </c>
      <c r="F11" s="162">
        <f>Adjustments!U17</f>
        <v>3.5419999999999998</v>
      </c>
      <c r="G11" s="22">
        <f t="shared" si="3"/>
        <v>3.3289999999999997</v>
      </c>
      <c r="H11" s="22">
        <f>IFERROR(IFERROR(INDEX(Gas_EIA2,1,MATCH(E11,$L$10:$AF$10,FALSE)),0)*INDEX(NG_Load_Shape,MATCH($D11,Adjustments!$H$3:$H$14,0),1),"Data Missing")</f>
        <v>2.907259832426937</v>
      </c>
      <c r="I11" s="163">
        <f t="shared" si="4"/>
        <v>3.3289999999999997</v>
      </c>
      <c r="K11" s="4" t="s">
        <v>155</v>
      </c>
      <c r="L11" s="260">
        <v>2.7246649999999999</v>
      </c>
      <c r="M11" s="260">
        <v>2.7802150000000001</v>
      </c>
      <c r="N11" s="260">
        <v>2.6369229999999999</v>
      </c>
      <c r="O11" s="260">
        <v>2.5768119999999999</v>
      </c>
      <c r="P11" s="260">
        <v>2.6436739999999999</v>
      </c>
      <c r="Q11" s="260">
        <v>2.7737059999999998</v>
      </c>
      <c r="R11" s="260">
        <v>2.8664689999999999</v>
      </c>
      <c r="S11" s="260">
        <v>3.2229869999999998</v>
      </c>
      <c r="T11" s="260">
        <v>3.4833850000000002</v>
      </c>
      <c r="U11" s="260">
        <v>3.598001</v>
      </c>
      <c r="V11" s="260">
        <v>3.6316190000000002</v>
      </c>
      <c r="W11" s="260">
        <v>3.610814</v>
      </c>
      <c r="X11" s="260">
        <v>3.518157</v>
      </c>
      <c r="Y11" s="260">
        <v>3.376865</v>
      </c>
      <c r="Z11" s="260">
        <v>3.256926</v>
      </c>
      <c r="AA11" s="260">
        <v>3.215503</v>
      </c>
      <c r="AB11" s="260">
        <v>3.252421</v>
      </c>
      <c r="AC11" s="260">
        <v>3.2981530000000001</v>
      </c>
      <c r="AD11" s="260">
        <v>3.3440240000000001</v>
      </c>
      <c r="AE11" s="260">
        <v>3.3472149999999998</v>
      </c>
      <c r="AF11" s="260">
        <v>3.329523</v>
      </c>
      <c r="AG11" s="260">
        <v>3.3935559999999998</v>
      </c>
    </row>
    <row r="12" spans="2:33" x14ac:dyDescent="0.2">
      <c r="B12" s="3">
        <v>4</v>
      </c>
      <c r="C12" s="8">
        <f t="shared" si="0"/>
        <v>46113</v>
      </c>
      <c r="D12" s="19" t="str">
        <f t="shared" si="1"/>
        <v>Apr</v>
      </c>
      <c r="E12" s="9">
        <f t="shared" si="2"/>
        <v>2026</v>
      </c>
      <c r="F12" s="162">
        <f>Adjustments!U18</f>
        <v>3.4079999999999999</v>
      </c>
      <c r="G12" s="22">
        <f t="shared" si="3"/>
        <v>3.028</v>
      </c>
      <c r="H12" s="22">
        <f>IFERROR(IFERROR(INDEX(Gas_EIA2,1,MATCH(E12,$L$10:$AF$10,FALSE)),0)*INDEX(NG_Load_Shape,MATCH($D12,Adjustments!$H$3:$H$14,0),1),"Data Missing")</f>
        <v>2.3866161063655889</v>
      </c>
      <c r="I12" s="163">
        <f t="shared" si="4"/>
        <v>3.028</v>
      </c>
      <c r="K12" s="4" t="s">
        <v>156</v>
      </c>
      <c r="L12" s="22">
        <f>IFERROR(L$11*(1+Inflation_Rate)^L$9,"Data Missing")</f>
        <v>2.8914362953199997</v>
      </c>
      <c r="M12" s="22">
        <f>IFERROR(M$11*(1+Inflation_Rate)^M$9,"Data Missing")</f>
        <v>3.0093941277143998</v>
      </c>
      <c r="N12" s="22">
        <f>IFERROR(N$11*(1+Inflation_Rate)^N$9,"Data Missing")</f>
        <v>2.9113760638165536</v>
      </c>
      <c r="O12" s="22">
        <f>IFERROR(O$11*(1+Inflation_Rate)^O$9,"Data Missing")</f>
        <v>2.9019088359085066</v>
      </c>
      <c r="P12" s="22">
        <f t="shared" ref="P12:AG12" si="7">IFERROR(P$11*(1+Inflation_Rate)^P$9,"Data Missing")</f>
        <v>3.0367504337370419</v>
      </c>
      <c r="Q12" s="22">
        <f t="shared" si="7"/>
        <v>3.2498386550422698</v>
      </c>
      <c r="R12" s="22">
        <f t="shared" si="7"/>
        <v>3.4256958000862268</v>
      </c>
      <c r="S12" s="22">
        <f t="shared" si="7"/>
        <v>3.9288031687156422</v>
      </c>
      <c r="T12" s="22">
        <f t="shared" si="7"/>
        <v>4.3311514152473052</v>
      </c>
      <c r="U12" s="22">
        <f t="shared" si="7"/>
        <v>4.5631352450778326</v>
      </c>
      <c r="V12" s="22">
        <f t="shared" si="7"/>
        <v>4.6978864176819846</v>
      </c>
      <c r="W12" s="22">
        <f t="shared" si="7"/>
        <v>4.7643923903701015</v>
      </c>
      <c r="X12" s="22">
        <f t="shared" si="7"/>
        <v>4.7349761155534038</v>
      </c>
      <c r="Y12" s="22">
        <f t="shared" si="7"/>
        <v>4.6357120000208099</v>
      </c>
      <c r="Z12" s="22">
        <f t="shared" si="7"/>
        <v>4.5604826844447057</v>
      </c>
      <c r="AA12" s="22">
        <f t="shared" si="7"/>
        <v>4.5925300938202476</v>
      </c>
      <c r="AB12" s="22">
        <f t="shared" si="7"/>
        <v>4.7381632505640336</v>
      </c>
      <c r="AC12" s="22">
        <f t="shared" si="7"/>
        <v>4.9008818618881973</v>
      </c>
      <c r="AD12" s="22">
        <f t="shared" si="7"/>
        <v>5.068424629986902</v>
      </c>
      <c r="AE12" s="22">
        <f t="shared" si="7"/>
        <v>5.1747263437160864</v>
      </c>
      <c r="AF12" s="22">
        <f t="shared" si="7"/>
        <v>5.2503223688083329</v>
      </c>
      <c r="AG12" s="22">
        <f t="shared" si="7"/>
        <v>5.4583218785801462</v>
      </c>
    </row>
    <row r="13" spans="2:33" x14ac:dyDescent="0.2">
      <c r="B13" s="3">
        <v>5</v>
      </c>
      <c r="C13" s="8">
        <f t="shared" si="0"/>
        <v>46143</v>
      </c>
      <c r="D13" s="19" t="str">
        <f t="shared" si="1"/>
        <v>May</v>
      </c>
      <c r="E13" s="9">
        <f t="shared" si="2"/>
        <v>2026</v>
      </c>
      <c r="F13" s="162">
        <f>Adjustments!U19</f>
        <v>3.4369999999999998</v>
      </c>
      <c r="G13" s="22">
        <f t="shared" si="3"/>
        <v>2.7589999999999999</v>
      </c>
      <c r="H13" s="22">
        <f>IFERROR(IFERROR(INDEX(Gas_EIA2,1,MATCH(E13,$L$10:$AF$10,FALSE)),0)*INDEX(NG_Load_Shape,MATCH($D13,Adjustments!$H$3:$H$14,0),1),"Data Missing")</f>
        <v>2.1147489299745499</v>
      </c>
      <c r="I13" s="163">
        <f t="shared" si="4"/>
        <v>2.7589999999999999</v>
      </c>
      <c r="AF13" s="63"/>
    </row>
    <row r="14" spans="2:33" x14ac:dyDescent="0.2">
      <c r="B14" s="3">
        <v>6</v>
      </c>
      <c r="C14" s="8">
        <f t="shared" si="0"/>
        <v>46174</v>
      </c>
      <c r="D14" s="19" t="str">
        <f t="shared" si="1"/>
        <v>Jun</v>
      </c>
      <c r="E14" s="9">
        <f t="shared" si="2"/>
        <v>2026</v>
      </c>
      <c r="F14" s="162">
        <f>Adjustments!U20</f>
        <v>3.613</v>
      </c>
      <c r="G14" s="22">
        <f t="shared" si="3"/>
        <v>2.8112500000000002</v>
      </c>
      <c r="H14" s="22">
        <f>IFERROR(IFERROR(INDEX(Gas_EIA2,1,MATCH(E14,$L$10:$AF$10,FALSE)),0)*INDEX(NG_Load_Shape,MATCH($D14,Adjustments!$H$3:$H$14,0),1),"Data Missing")</f>
        <v>2.1330253552208132</v>
      </c>
      <c r="I14" s="163">
        <f t="shared" si="4"/>
        <v>2.8112500000000002</v>
      </c>
    </row>
    <row r="15" spans="2:33" x14ac:dyDescent="0.2">
      <c r="B15" s="3">
        <v>7</v>
      </c>
      <c r="C15" s="8">
        <f t="shared" si="0"/>
        <v>46204</v>
      </c>
      <c r="D15" s="19" t="str">
        <f t="shared" si="1"/>
        <v>Jul</v>
      </c>
      <c r="E15" s="9">
        <f t="shared" si="2"/>
        <v>2026</v>
      </c>
      <c r="F15" s="162">
        <f>Adjustments!U21</f>
        <v>3.8130000000000002</v>
      </c>
      <c r="G15" s="22">
        <f t="shared" si="3"/>
        <v>2.9595000000000002</v>
      </c>
      <c r="H15" s="22">
        <f>IFERROR(IFERROR(INDEX(Gas_EIA2,1,MATCH(E15,$L$10:$AF$10,FALSE)),0)*INDEX(NG_Load_Shape,MATCH($D15,Adjustments!$H$3:$H$14,0),1),"Data Missing")</f>
        <v>2.2303252637026798</v>
      </c>
      <c r="I15" s="163">
        <f t="shared" si="4"/>
        <v>2.9595000000000002</v>
      </c>
      <c r="K15" s="84"/>
    </row>
    <row r="16" spans="2:33" x14ac:dyDescent="0.2">
      <c r="B16" s="3">
        <v>8</v>
      </c>
      <c r="C16" s="8">
        <f t="shared" si="0"/>
        <v>46235</v>
      </c>
      <c r="D16" s="19" t="str">
        <f t="shared" si="1"/>
        <v>Aug</v>
      </c>
      <c r="E16" s="9">
        <f t="shared" si="2"/>
        <v>2026</v>
      </c>
      <c r="F16" s="162">
        <f>Adjustments!U22</f>
        <v>3.875</v>
      </c>
      <c r="G16" s="22">
        <f t="shared" si="3"/>
        <v>2.99675</v>
      </c>
      <c r="H16" s="22">
        <f>IFERROR(IFERROR(INDEX(Gas_EIA2,1,MATCH(E16,$L$10:$AF$10,FALSE)),0)*INDEX(NG_Load_Shape,MATCH($D16,Adjustments!$H$3:$H$14,0),1),"Data Missing")</f>
        <v>2.2650938005279198</v>
      </c>
      <c r="I16" s="163">
        <f t="shared" si="4"/>
        <v>2.99675</v>
      </c>
    </row>
    <row r="17" spans="2:32" x14ac:dyDescent="0.2">
      <c r="B17" s="3">
        <v>9</v>
      </c>
      <c r="C17" s="8">
        <f t="shared" si="0"/>
        <v>46266</v>
      </c>
      <c r="D17" s="19" t="str">
        <f t="shared" si="1"/>
        <v>Sep</v>
      </c>
      <c r="E17" s="9">
        <f t="shared" si="2"/>
        <v>2026</v>
      </c>
      <c r="F17" s="162">
        <f>Adjustments!U23</f>
        <v>3.8370000000000002</v>
      </c>
      <c r="G17" s="22">
        <f t="shared" si="3"/>
        <v>2.5872500000000005</v>
      </c>
      <c r="H17" s="22">
        <f>IFERROR(IFERROR(INDEX(Gas_EIA2,1,MATCH(E17,$L$10:$AF$10,FALSE)),0)*INDEX(NG_Load_Shape,MATCH($D17,Adjustments!$H$3:$H$14,0),1),"Data Missing")</f>
        <v>1.9365399499111942</v>
      </c>
      <c r="I17" s="163">
        <f t="shared" si="4"/>
        <v>2.5872500000000005</v>
      </c>
      <c r="W17" s="64"/>
      <c r="Z17" s="64"/>
      <c r="AA17" s="64"/>
      <c r="AB17" s="64"/>
      <c r="AC17" s="64"/>
      <c r="AD17" s="64"/>
      <c r="AE17" s="64"/>
      <c r="AF17" s="64"/>
    </row>
    <row r="18" spans="2:32" x14ac:dyDescent="0.2">
      <c r="B18" s="3">
        <v>10</v>
      </c>
      <c r="C18" s="8">
        <f t="shared" si="0"/>
        <v>46296</v>
      </c>
      <c r="D18" s="19" t="str">
        <f t="shared" si="1"/>
        <v>Oct</v>
      </c>
      <c r="E18" s="9">
        <f t="shared" si="2"/>
        <v>2026</v>
      </c>
      <c r="F18" s="162">
        <f>Adjustments!U24</f>
        <v>3.883</v>
      </c>
      <c r="G18" s="22">
        <f t="shared" si="3"/>
        <v>2.609</v>
      </c>
      <c r="H18" s="22">
        <f>IFERROR(IFERROR(INDEX(Gas_EIA2,1,MATCH(E18,$L$10:$AF$10,FALSE)),0)*INDEX(NG_Load_Shape,MATCH($D18,Adjustments!$H$3:$H$14,0),1),"Data Missing")</f>
        <v>1.9729810850366065</v>
      </c>
      <c r="I18" s="163">
        <f t="shared" si="4"/>
        <v>2.609</v>
      </c>
      <c r="W18" s="64"/>
      <c r="Z18" s="64"/>
      <c r="AA18" s="64"/>
      <c r="AB18" s="64"/>
      <c r="AC18" s="64"/>
      <c r="AD18" s="64"/>
      <c r="AE18" s="64"/>
      <c r="AF18" s="64"/>
    </row>
    <row r="19" spans="2:32" x14ac:dyDescent="0.2">
      <c r="B19" s="3">
        <v>11</v>
      </c>
      <c r="C19" s="8">
        <f t="shared" si="0"/>
        <v>46327</v>
      </c>
      <c r="D19" s="19" t="str">
        <f t="shared" si="1"/>
        <v>Nov</v>
      </c>
      <c r="E19" s="9">
        <f t="shared" si="2"/>
        <v>2026</v>
      </c>
      <c r="F19" s="162">
        <f>Adjustments!U25</f>
        <v>4.0970000000000004</v>
      </c>
      <c r="G19" s="22">
        <f t="shared" si="3"/>
        <v>3.3332500000000005</v>
      </c>
      <c r="H19" s="22">
        <f>IFERROR(IFERROR(INDEX(Gas_EIA2,1,MATCH(E19,$L$10:$AF$10,FALSE)),0)*INDEX(NG_Load_Shape,MATCH($D19,Adjustments!$H$3:$H$14,0),1),"Data Missing")</f>
        <v>2.5744075503484081</v>
      </c>
      <c r="I19" s="163">
        <f t="shared" si="4"/>
        <v>3.3332500000000005</v>
      </c>
      <c r="W19" s="64"/>
      <c r="Z19" s="64"/>
      <c r="AA19" s="64"/>
      <c r="AB19" s="64"/>
      <c r="AC19" s="64"/>
      <c r="AD19" s="64"/>
      <c r="AE19" s="64"/>
      <c r="AF19" s="64"/>
    </row>
    <row r="20" spans="2:32" x14ac:dyDescent="0.2">
      <c r="B20" s="3">
        <v>12</v>
      </c>
      <c r="C20" s="8">
        <f t="shared" si="0"/>
        <v>46357</v>
      </c>
      <c r="D20" s="19" t="str">
        <f t="shared" si="1"/>
        <v>Dec</v>
      </c>
      <c r="E20" s="9">
        <f t="shared" si="2"/>
        <v>2026</v>
      </c>
      <c r="F20" s="162">
        <f>Adjustments!U26</f>
        <v>4.4969999999999999</v>
      </c>
      <c r="G20" s="22">
        <f t="shared" si="3"/>
        <v>5.2352500000000006</v>
      </c>
      <c r="H20" s="22">
        <f>IFERROR(IFERROR(INDEX(Gas_EIA2,1,MATCH(E20,$L$10:$AF$10,FALSE)),0)*INDEX(NG_Load_Shape,MATCH($D20,Adjustments!$H$3:$H$14,0),1),"Data Missing")</f>
        <v>4.2006575460629216</v>
      </c>
      <c r="I20" s="163">
        <f t="shared" si="4"/>
        <v>5.2352500000000006</v>
      </c>
      <c r="J20" s="63"/>
      <c r="K20" s="63"/>
      <c r="W20" s="64"/>
      <c r="Z20" s="64"/>
      <c r="AA20" s="64"/>
      <c r="AB20" s="64"/>
      <c r="AC20" s="64"/>
      <c r="AD20" s="64"/>
      <c r="AE20" s="64"/>
      <c r="AF20" s="64"/>
    </row>
    <row r="21" spans="2:32" x14ac:dyDescent="0.2">
      <c r="B21" s="3">
        <v>13</v>
      </c>
      <c r="C21" s="8">
        <f t="shared" si="0"/>
        <v>46388</v>
      </c>
      <c r="D21" s="19" t="str">
        <f t="shared" si="1"/>
        <v>Jan</v>
      </c>
      <c r="E21" s="9">
        <f t="shared" si="2"/>
        <v>2027</v>
      </c>
      <c r="F21" s="162">
        <f>Adjustments!U27</f>
        <v>4.7489999999999997</v>
      </c>
      <c r="G21" s="22">
        <f t="shared" ref="G21:G56" si="8">IFERROR(F21+(INDEX(NG_Zone_Adjust,MONTH(C21),2)),"Data Missing")</f>
        <v>7.3212499999999991</v>
      </c>
      <c r="H21" s="22">
        <f>IFERROR(IFERROR(INDEX(Gas_EIA2,1,MATCH(E21,$L$10:$AF$10,FALSE)),0)*INDEX(NG_Load_Shape,MATCH($D21,Adjustments!$H$3:$H$14,0),1),"Data Missing")</f>
        <v>5.8590601817822598</v>
      </c>
      <c r="I21" s="164">
        <f t="shared" si="4"/>
        <v>7.3212499999999991</v>
      </c>
    </row>
    <row r="22" spans="2:32" x14ac:dyDescent="0.2">
      <c r="B22" s="3">
        <v>14</v>
      </c>
      <c r="C22" s="8">
        <f t="shared" si="0"/>
        <v>46419</v>
      </c>
      <c r="D22" s="19" t="str">
        <f t="shared" si="1"/>
        <v>Feb</v>
      </c>
      <c r="E22" s="9">
        <f t="shared" si="2"/>
        <v>2027</v>
      </c>
      <c r="F22" s="162">
        <f>Adjustments!U28</f>
        <v>4.3789999999999996</v>
      </c>
      <c r="G22" s="22">
        <f t="shared" si="8"/>
        <v>6.4244999999999992</v>
      </c>
      <c r="H22" s="22">
        <f>IFERROR(IFERROR(INDEX(Gas_EIA2,1,MATCH(E22,$L$10:$AF$10,FALSE)),0)*INDEX(NG_Load_Shape,MATCH($D22,Adjustments!$H$3:$H$14,0),1),"Data Missing")</f>
        <v>5.1609987092483953</v>
      </c>
      <c r="I22" s="164">
        <f t="shared" si="4"/>
        <v>6.4244999999999992</v>
      </c>
    </row>
    <row r="23" spans="2:32" x14ac:dyDescent="0.2">
      <c r="B23" s="3">
        <v>15</v>
      </c>
      <c r="C23" s="8">
        <f t="shared" si="0"/>
        <v>46447</v>
      </c>
      <c r="D23" s="19" t="str">
        <f t="shared" si="1"/>
        <v>Mar</v>
      </c>
      <c r="E23" s="9">
        <f t="shared" si="2"/>
        <v>2027</v>
      </c>
      <c r="F23" s="162">
        <f>Adjustments!U29</f>
        <v>3.8029999999999999</v>
      </c>
      <c r="G23" s="22">
        <f t="shared" si="8"/>
        <v>3.59</v>
      </c>
      <c r="H23" s="22">
        <f>IFERROR(IFERROR(INDEX(Gas_EIA2,1,MATCH(E23,$L$10:$AF$10,FALSE)),0)*INDEX(NG_Load_Shape,MATCH($D23,Adjustments!$H$3:$H$14,0),1),"Data Missing")</f>
        <v>2.8125683537009873</v>
      </c>
      <c r="I23" s="164">
        <f t="shared" si="4"/>
        <v>3.59</v>
      </c>
    </row>
    <row r="24" spans="2:32" x14ac:dyDescent="0.2">
      <c r="B24" s="3">
        <v>16</v>
      </c>
      <c r="C24" s="8">
        <f t="shared" si="0"/>
        <v>46478</v>
      </c>
      <c r="D24" s="19" t="str">
        <f t="shared" si="1"/>
        <v>Apr</v>
      </c>
      <c r="E24" s="9">
        <f t="shared" si="2"/>
        <v>2027</v>
      </c>
      <c r="F24" s="162">
        <f>Adjustments!U30</f>
        <v>3.4180000000000001</v>
      </c>
      <c r="G24" s="22">
        <f t="shared" si="8"/>
        <v>3.0380000000000003</v>
      </c>
      <c r="H24" s="22">
        <f>IFERROR(IFERROR(INDEX(Gas_EIA2,1,MATCH(E24,$L$10:$AF$10,FALSE)),0)*INDEX(NG_Load_Shape,MATCH($D24,Adjustments!$H$3:$H$14,0),1),"Data Missing")</f>
        <v>2.3088823566187457</v>
      </c>
      <c r="I24" s="164">
        <f t="shared" si="4"/>
        <v>3.0380000000000003</v>
      </c>
    </row>
    <row r="25" spans="2:32" x14ac:dyDescent="0.2">
      <c r="B25" s="3">
        <v>17</v>
      </c>
      <c r="C25" s="8">
        <f t="shared" si="0"/>
        <v>46508</v>
      </c>
      <c r="D25" s="19" t="str">
        <f t="shared" si="1"/>
        <v>May</v>
      </c>
      <c r="E25" s="9">
        <f t="shared" si="2"/>
        <v>2027</v>
      </c>
      <c r="F25" s="162">
        <f>Adjustments!U31</f>
        <v>3.3940000000000001</v>
      </c>
      <c r="G25" s="22">
        <f t="shared" si="8"/>
        <v>2.7160000000000002</v>
      </c>
      <c r="H25" s="22">
        <f>IFERROR(IFERROR(INDEX(Gas_EIA2,1,MATCH(E25,$L$10:$AF$10,FALSE)),0)*INDEX(NG_Load_Shape,MATCH($D25,Adjustments!$H$3:$H$14,0),1),"Data Missing")</f>
        <v>2.0458700836189956</v>
      </c>
      <c r="I25" s="164">
        <f t="shared" si="4"/>
        <v>2.7160000000000002</v>
      </c>
    </row>
    <row r="26" spans="2:32" x14ac:dyDescent="0.2">
      <c r="B26" s="3">
        <v>18</v>
      </c>
      <c r="C26" s="8">
        <f t="shared" si="0"/>
        <v>46539</v>
      </c>
      <c r="D26" s="19" t="str">
        <f t="shared" si="1"/>
        <v>Jun</v>
      </c>
      <c r="E26" s="9">
        <f t="shared" si="2"/>
        <v>2027</v>
      </c>
      <c r="F26" s="162">
        <f>Adjustments!U32</f>
        <v>3.5419999999999998</v>
      </c>
      <c r="G26" s="22">
        <f t="shared" si="8"/>
        <v>2.7402499999999996</v>
      </c>
      <c r="H26" s="22">
        <f>IFERROR(IFERROR(INDEX(Gas_EIA2,1,MATCH(E26,$L$10:$AF$10,FALSE)),0)*INDEX(NG_Load_Shape,MATCH($D26,Adjustments!$H$3:$H$14,0),1),"Data Missing")</f>
        <v>2.0635512329586856</v>
      </c>
      <c r="I26" s="164">
        <f t="shared" si="4"/>
        <v>2.7402499999999996</v>
      </c>
    </row>
    <row r="27" spans="2:32" x14ac:dyDescent="0.2">
      <c r="B27" s="3">
        <v>19</v>
      </c>
      <c r="C27" s="8">
        <f t="shared" si="0"/>
        <v>46569</v>
      </c>
      <c r="D27" s="19" t="str">
        <f t="shared" si="1"/>
        <v>Jul</v>
      </c>
      <c r="E27" s="9">
        <f t="shared" si="2"/>
        <v>2027</v>
      </c>
      <c r="F27" s="162">
        <f>Adjustments!U33</f>
        <v>3.72</v>
      </c>
      <c r="G27" s="22">
        <f t="shared" si="8"/>
        <v>2.8665000000000003</v>
      </c>
      <c r="H27" s="22">
        <f>IFERROR(IFERROR(INDEX(Gas_EIA2,1,MATCH(E27,$L$10:$AF$10,FALSE)),0)*INDEX(NG_Load_Shape,MATCH($D27,Adjustments!$H$3:$H$14,0),1),"Data Missing")</f>
        <v>2.1576820156158552</v>
      </c>
      <c r="I27" s="164">
        <f t="shared" si="4"/>
        <v>2.8665000000000003</v>
      </c>
    </row>
    <row r="28" spans="2:32" x14ac:dyDescent="0.2">
      <c r="B28" s="3">
        <v>20</v>
      </c>
      <c r="C28" s="8">
        <f t="shared" si="0"/>
        <v>46600</v>
      </c>
      <c r="D28" s="19" t="str">
        <f t="shared" si="1"/>
        <v>Aug</v>
      </c>
      <c r="E28" s="9">
        <f t="shared" si="2"/>
        <v>2027</v>
      </c>
      <c r="F28" s="162">
        <f>Adjustments!U34</f>
        <v>3.78</v>
      </c>
      <c r="G28" s="22">
        <f t="shared" si="8"/>
        <v>2.9017499999999998</v>
      </c>
      <c r="H28" s="22">
        <f>IFERROR(IFERROR(INDEX(Gas_EIA2,1,MATCH(E28,$L$10:$AF$10,FALSE)),0)*INDEX(NG_Load_Shape,MATCH($D28,Adjustments!$H$3:$H$14,0),1),"Data Missing")</f>
        <v>2.1913181169675271</v>
      </c>
      <c r="I28" s="164">
        <f t="shared" si="4"/>
        <v>2.9017499999999998</v>
      </c>
    </row>
    <row r="29" spans="2:32" x14ac:dyDescent="0.2">
      <c r="B29" s="3">
        <v>21</v>
      </c>
      <c r="C29" s="8">
        <f t="shared" si="0"/>
        <v>46631</v>
      </c>
      <c r="D29" s="19" t="str">
        <f t="shared" si="1"/>
        <v>Sep</v>
      </c>
      <c r="E29" s="9">
        <f t="shared" si="2"/>
        <v>2027</v>
      </c>
      <c r="F29" s="162">
        <f>Adjustments!U35</f>
        <v>3.746</v>
      </c>
      <c r="G29" s="22">
        <f t="shared" si="8"/>
        <v>2.4962500000000003</v>
      </c>
      <c r="H29" s="22">
        <f>IFERROR(IFERROR(INDEX(Gas_EIA2,1,MATCH(E29,$L$10:$AF$10,FALSE)),0)*INDEX(NG_Load_Shape,MATCH($D29,Adjustments!$H$3:$H$14,0),1),"Data Missing")</f>
        <v>1.8734654942248963</v>
      </c>
      <c r="I29" s="164">
        <f t="shared" si="4"/>
        <v>2.4962500000000003</v>
      </c>
    </row>
    <row r="30" spans="2:32" x14ac:dyDescent="0.2">
      <c r="B30" s="3">
        <v>22</v>
      </c>
      <c r="C30" s="8">
        <f t="shared" si="0"/>
        <v>46661</v>
      </c>
      <c r="D30" s="19" t="str">
        <f t="shared" si="1"/>
        <v>Oct</v>
      </c>
      <c r="E30" s="9">
        <f t="shared" si="2"/>
        <v>2027</v>
      </c>
      <c r="F30" s="162">
        <f>Adjustments!U36</f>
        <v>3.8029999999999999</v>
      </c>
      <c r="G30" s="22">
        <f t="shared" si="8"/>
        <v>2.5289999999999999</v>
      </c>
      <c r="H30" s="22">
        <f>IFERROR(IFERROR(INDEX(Gas_EIA2,1,MATCH(E30,$L$10:$AF$10,FALSE)),0)*INDEX(NG_Load_Shape,MATCH($D30,Adjustments!$H$3:$H$14,0),1),"Data Missing")</f>
        <v>1.9087197161845195</v>
      </c>
      <c r="I30" s="164">
        <f t="shared" si="4"/>
        <v>2.5289999999999999</v>
      </c>
    </row>
    <row r="31" spans="2:32" x14ac:dyDescent="0.2">
      <c r="B31" s="3">
        <v>23</v>
      </c>
      <c r="C31" s="8">
        <f t="shared" si="0"/>
        <v>46692</v>
      </c>
      <c r="D31" s="19" t="str">
        <f t="shared" si="1"/>
        <v>Nov</v>
      </c>
      <c r="E31" s="9">
        <f t="shared" si="2"/>
        <v>2027</v>
      </c>
      <c r="F31" s="162">
        <f>Adjustments!U37</f>
        <v>4.0110000000000001</v>
      </c>
      <c r="G31" s="22">
        <f t="shared" si="8"/>
        <v>3.2472500000000002</v>
      </c>
      <c r="H31" s="22">
        <f>IFERROR(IFERROR(INDEX(Gas_EIA2,1,MATCH(E31,$L$10:$AF$10,FALSE)),0)*INDEX(NG_Load_Shape,MATCH($D31,Adjustments!$H$3:$H$14,0),1),"Data Missing")</f>
        <v>2.4905573024047145</v>
      </c>
      <c r="I31" s="164">
        <f t="shared" si="4"/>
        <v>3.2472500000000002</v>
      </c>
    </row>
    <row r="32" spans="2:32" x14ac:dyDescent="0.2">
      <c r="B32" s="3">
        <v>24</v>
      </c>
      <c r="C32" s="8">
        <f t="shared" si="0"/>
        <v>46722</v>
      </c>
      <c r="D32" s="19" t="str">
        <f t="shared" si="1"/>
        <v>Dec</v>
      </c>
      <c r="E32" s="9">
        <f t="shared" si="2"/>
        <v>2027</v>
      </c>
      <c r="F32" s="162">
        <f>Adjustments!U38</f>
        <v>4.4359999999999999</v>
      </c>
      <c r="G32" s="22">
        <f t="shared" si="8"/>
        <v>5.1742500000000007</v>
      </c>
      <c r="H32" s="22">
        <f>IFERROR(IFERROR(INDEX(Gas_EIA2,1,MATCH(E32,$L$10:$AF$10,FALSE)),0)*INDEX(NG_Load_Shape,MATCH($D32,Adjustments!$H$3:$H$14,0),1),"Data Missing")</f>
        <v>4.0638392024730523</v>
      </c>
      <c r="I32" s="164">
        <f t="shared" si="4"/>
        <v>5.1742500000000007</v>
      </c>
      <c r="J32" s="63"/>
      <c r="K32" s="63"/>
    </row>
    <row r="33" spans="2:11" x14ac:dyDescent="0.2">
      <c r="B33" s="3">
        <v>25</v>
      </c>
      <c r="C33" s="8">
        <f t="shared" si="0"/>
        <v>46753</v>
      </c>
      <c r="D33" s="19" t="str">
        <f t="shared" si="1"/>
        <v>Jan</v>
      </c>
      <c r="E33" s="9">
        <f t="shared" si="2"/>
        <v>2028</v>
      </c>
      <c r="F33" s="162">
        <f>Adjustments!U39</f>
        <v>4.734</v>
      </c>
      <c r="G33" s="22">
        <f t="shared" si="8"/>
        <v>7.3062499999999995</v>
      </c>
      <c r="H33" s="22">
        <f>IFERROR(IFERROR(INDEX(Gas_EIA2,1,MATCH(E33,$L$10:$AF$10,FALSE)),0)*INDEX(NG_Load_Shape,MATCH($D33,Adjustments!$H$3:$H$14,0),1),"Data Missing")</f>
        <v>5.8400076592458268</v>
      </c>
      <c r="I33" s="164">
        <f t="shared" si="4"/>
        <v>7.3062499999999995</v>
      </c>
    </row>
    <row r="34" spans="2:11" x14ac:dyDescent="0.2">
      <c r="B34" s="3">
        <v>26</v>
      </c>
      <c r="C34" s="8">
        <f t="shared" si="0"/>
        <v>46784</v>
      </c>
      <c r="D34" s="19" t="str">
        <f t="shared" si="1"/>
        <v>Feb</v>
      </c>
      <c r="E34" s="9">
        <f t="shared" si="2"/>
        <v>2028</v>
      </c>
      <c r="F34" s="162">
        <f>Adjustments!U40</f>
        <v>4.3929999999999998</v>
      </c>
      <c r="G34" s="22">
        <f t="shared" si="8"/>
        <v>6.4384999999999994</v>
      </c>
      <c r="H34" s="22">
        <f>IFERROR(IFERROR(INDEX(Gas_EIA2,1,MATCH(E34,$L$10:$AF$10,FALSE)),0)*INDEX(NG_Load_Shape,MATCH($D34,Adjustments!$H$3:$H$14,0),1),"Data Missing")</f>
        <v>5.1442161466585459</v>
      </c>
      <c r="I34" s="164">
        <f t="shared" si="4"/>
        <v>6.4384999999999994</v>
      </c>
    </row>
    <row r="35" spans="2:11" x14ac:dyDescent="0.2">
      <c r="B35" s="3">
        <v>27</v>
      </c>
      <c r="C35" s="8">
        <f t="shared" si="0"/>
        <v>46813</v>
      </c>
      <c r="D35" s="19" t="str">
        <f t="shared" si="1"/>
        <v>Mar</v>
      </c>
      <c r="E35" s="9">
        <f t="shared" si="2"/>
        <v>2028</v>
      </c>
      <c r="F35" s="162">
        <f>Adjustments!U41</f>
        <v>3.7679999999999998</v>
      </c>
      <c r="G35" s="22">
        <f t="shared" si="8"/>
        <v>3.5549999999999997</v>
      </c>
      <c r="H35" s="22">
        <f>IFERROR(IFERROR(INDEX(Gas_EIA2,1,MATCH(E35,$L$10:$AF$10,FALSE)),0)*INDEX(NG_Load_Shape,MATCH($D35,Adjustments!$H$3:$H$14,0),1),"Data Missing")</f>
        <v>2.8034224292213645</v>
      </c>
      <c r="I35" s="164">
        <f t="shared" si="4"/>
        <v>3.5549999999999997</v>
      </c>
    </row>
    <row r="36" spans="2:11" x14ac:dyDescent="0.2">
      <c r="B36" s="3">
        <v>28</v>
      </c>
      <c r="C36" s="8">
        <f t="shared" si="0"/>
        <v>46844</v>
      </c>
      <c r="D36" s="19" t="str">
        <f t="shared" si="1"/>
        <v>Apr</v>
      </c>
      <c r="E36" s="9">
        <f t="shared" si="2"/>
        <v>2028</v>
      </c>
      <c r="F36" s="162">
        <f>Adjustments!U42</f>
        <v>3.298</v>
      </c>
      <c r="G36" s="22">
        <f t="shared" si="8"/>
        <v>2.9180000000000001</v>
      </c>
      <c r="H36" s="22">
        <f>IFERROR(IFERROR(INDEX(Gas_EIA2,1,MATCH(E36,$L$10:$AF$10,FALSE)),0)*INDEX(NG_Load_Shape,MATCH($D36,Adjustments!$H$3:$H$14,0),1),"Data Missing")</f>
        <v>2.3013743208982338</v>
      </c>
      <c r="I36" s="164">
        <f t="shared" si="4"/>
        <v>2.9180000000000001</v>
      </c>
    </row>
    <row r="37" spans="2:11" x14ac:dyDescent="0.2">
      <c r="B37" s="3">
        <v>29</v>
      </c>
      <c r="C37" s="8">
        <f t="shared" si="0"/>
        <v>46874</v>
      </c>
      <c r="D37" s="19" t="str">
        <f t="shared" si="1"/>
        <v>May</v>
      </c>
      <c r="E37" s="9">
        <f t="shared" si="2"/>
        <v>2028</v>
      </c>
      <c r="F37" s="162">
        <f>Adjustments!U43</f>
        <v>3.2690000000000001</v>
      </c>
      <c r="G37" s="22">
        <f t="shared" si="8"/>
        <v>2.5910000000000002</v>
      </c>
      <c r="H37" s="22">
        <f>IFERROR(IFERROR(INDEX(Gas_EIA2,1,MATCH(E37,$L$10:$AF$10,FALSE)),0)*INDEX(NG_Load_Shape,MATCH($D37,Adjustments!$H$3:$H$14,0),1),"Data Missing")</f>
        <v>2.0392173125831281</v>
      </c>
      <c r="I37" s="164">
        <f t="shared" si="4"/>
        <v>2.5910000000000002</v>
      </c>
    </row>
    <row r="38" spans="2:11" x14ac:dyDescent="0.2">
      <c r="B38" s="3">
        <v>30</v>
      </c>
      <c r="C38" s="8">
        <f t="shared" si="0"/>
        <v>46905</v>
      </c>
      <c r="D38" s="19" t="str">
        <f t="shared" si="1"/>
        <v>Jun</v>
      </c>
      <c r="E38" s="9">
        <f t="shared" si="2"/>
        <v>2028</v>
      </c>
      <c r="F38" s="162">
        <f>Adjustments!U44</f>
        <v>3.42</v>
      </c>
      <c r="G38" s="22">
        <f t="shared" si="8"/>
        <v>2.6182499999999997</v>
      </c>
      <c r="H38" s="22">
        <f>IFERROR(IFERROR(INDEX(Gas_EIA2,1,MATCH(E38,$L$10:$AF$10,FALSE)),0)*INDEX(NG_Load_Shape,MATCH($D38,Adjustments!$H$3:$H$14,0),1),"Data Missing")</f>
        <v>2.0568409662689398</v>
      </c>
      <c r="I38" s="164">
        <f t="shared" si="4"/>
        <v>2.6182499999999997</v>
      </c>
    </row>
    <row r="39" spans="2:11" x14ac:dyDescent="0.2">
      <c r="B39" s="3">
        <v>31</v>
      </c>
      <c r="C39" s="8">
        <f t="shared" si="0"/>
        <v>46935</v>
      </c>
      <c r="D39" s="19" t="str">
        <f t="shared" si="1"/>
        <v>Jul</v>
      </c>
      <c r="E39" s="9">
        <f t="shared" si="2"/>
        <v>2028</v>
      </c>
      <c r="F39" s="162">
        <f>Adjustments!U45</f>
        <v>3.5950000000000002</v>
      </c>
      <c r="G39" s="22">
        <f t="shared" si="8"/>
        <v>2.7415000000000003</v>
      </c>
      <c r="H39" s="22">
        <f>IFERROR(IFERROR(INDEX(Gas_EIA2,1,MATCH(E39,$L$10:$AF$10,FALSE)),0)*INDEX(NG_Load_Shape,MATCH($D39,Adjustments!$H$3:$H$14,0),1),"Data Missing")</f>
        <v>2.1506656539548503</v>
      </c>
      <c r="I39" s="164">
        <f t="shared" si="4"/>
        <v>2.7415000000000003</v>
      </c>
    </row>
    <row r="40" spans="2:11" x14ac:dyDescent="0.2">
      <c r="B40" s="3">
        <v>32</v>
      </c>
      <c r="C40" s="8">
        <f t="shared" si="0"/>
        <v>46966</v>
      </c>
      <c r="D40" s="19" t="str">
        <f t="shared" si="1"/>
        <v>Aug</v>
      </c>
      <c r="E40" s="9">
        <f t="shared" si="2"/>
        <v>2028</v>
      </c>
      <c r="F40" s="162">
        <f>Adjustments!U46</f>
        <v>3.6640000000000001</v>
      </c>
      <c r="G40" s="22">
        <f t="shared" si="8"/>
        <v>2.7857500000000002</v>
      </c>
      <c r="H40" s="22">
        <f>IFERROR(IFERROR(INDEX(Gas_EIA2,1,MATCH(E40,$L$10:$AF$10,FALSE)),0)*INDEX(NG_Load_Shape,MATCH($D40,Adjustments!$H$3:$H$14,0),1),"Data Missing")</f>
        <v>2.1841923772562621</v>
      </c>
      <c r="I40" s="164">
        <f t="shared" si="4"/>
        <v>2.7857500000000002</v>
      </c>
    </row>
    <row r="41" spans="2:11" x14ac:dyDescent="0.2">
      <c r="B41" s="3">
        <v>33</v>
      </c>
      <c r="C41" s="8">
        <f t="shared" ref="C41:C72" si="9">DATE(Start_Year-1,B41,1)</f>
        <v>46997</v>
      </c>
      <c r="D41" s="19" t="str">
        <f t="shared" ref="D41:D72" si="10">CHOOSE(MONTH(C41), "Jan", "Feb", "Mar", "Apr", "May", "Jun", "Jul", "Aug", "Sep", "Oct", "Nov", "Dec")</f>
        <v>Sep</v>
      </c>
      <c r="E41" s="9">
        <f t="shared" ref="E41:E73" si="11">YEAR(C41)</f>
        <v>2028</v>
      </c>
      <c r="F41" s="162">
        <f>Adjustments!U47</f>
        <v>3.6480000000000001</v>
      </c>
      <c r="G41" s="22">
        <f t="shared" si="8"/>
        <v>2.3982500000000004</v>
      </c>
      <c r="H41" s="22">
        <f>IFERROR(IFERROR(INDEX(Gas_EIA2,1,MATCH(E41,$L$10:$AF$10,FALSE)),0)*INDEX(NG_Load_Shape,MATCH($D41,Adjustments!$H$3:$H$14,0),1),"Data Missing")</f>
        <v>1.8673733493343327</v>
      </c>
      <c r="I41" s="164">
        <f t="shared" ref="I41:I66" si="12">G41</f>
        <v>2.3982500000000004</v>
      </c>
    </row>
    <row r="42" spans="2:11" x14ac:dyDescent="0.2">
      <c r="B42" s="3">
        <v>34</v>
      </c>
      <c r="C42" s="8">
        <f t="shared" si="9"/>
        <v>47027</v>
      </c>
      <c r="D42" s="19" t="str">
        <f t="shared" si="10"/>
        <v>Oct</v>
      </c>
      <c r="E42" s="9">
        <f t="shared" si="11"/>
        <v>2028</v>
      </c>
      <c r="F42" s="162">
        <f>Adjustments!U48</f>
        <v>3.7149999999999999</v>
      </c>
      <c r="G42" s="22">
        <f t="shared" si="8"/>
        <v>2.4409999999999998</v>
      </c>
      <c r="H42" s="22">
        <f>IFERROR(IFERROR(INDEX(Gas_EIA2,1,MATCH(E42,$L$10:$AF$10,FALSE)),0)*INDEX(NG_Load_Shape,MATCH($D42,Adjustments!$H$3:$H$14,0),1),"Data Missing")</f>
        <v>1.9025129314306415</v>
      </c>
      <c r="I42" s="164">
        <f t="shared" si="12"/>
        <v>2.4409999999999998</v>
      </c>
    </row>
    <row r="43" spans="2:11" x14ac:dyDescent="0.2">
      <c r="B43" s="3">
        <v>35</v>
      </c>
      <c r="C43" s="8">
        <f t="shared" si="9"/>
        <v>47058</v>
      </c>
      <c r="D43" s="19" t="str">
        <f t="shared" si="10"/>
        <v>Nov</v>
      </c>
      <c r="E43" s="9">
        <f t="shared" si="11"/>
        <v>2028</v>
      </c>
      <c r="F43" s="162">
        <f>Adjustments!U49</f>
        <v>3.9580000000000002</v>
      </c>
      <c r="G43" s="22">
        <f t="shared" si="8"/>
        <v>3.1942500000000003</v>
      </c>
      <c r="H43" s="22">
        <f>IFERROR(IFERROR(INDEX(Gas_EIA2,1,MATCH(E43,$L$10:$AF$10,FALSE)),0)*INDEX(NG_Load_Shape,MATCH($D43,Adjustments!$H$3:$H$14,0),1),"Data Missing")</f>
        <v>2.4824584951455084</v>
      </c>
      <c r="I43" s="164">
        <f t="shared" si="12"/>
        <v>3.1942500000000003</v>
      </c>
    </row>
    <row r="44" spans="2:11" x14ac:dyDescent="0.2">
      <c r="B44" s="3">
        <v>36</v>
      </c>
      <c r="C44" s="8">
        <f t="shared" si="9"/>
        <v>47088</v>
      </c>
      <c r="D44" s="19" t="str">
        <f t="shared" si="10"/>
        <v>Dec</v>
      </c>
      <c r="E44" s="9">
        <f t="shared" si="11"/>
        <v>2028</v>
      </c>
      <c r="F44" s="162">
        <f>Adjustments!U50</f>
        <v>4.41</v>
      </c>
      <c r="G44" s="22">
        <f t="shared" si="8"/>
        <v>5.1482500000000009</v>
      </c>
      <c r="H44" s="22">
        <f>IFERROR(IFERROR(INDEX(Gas_EIA2,1,MATCH(E44,$L$10:$AF$10,FALSE)),0)*INDEX(NG_Load_Shape,MATCH($D44,Adjustments!$H$3:$H$14,0),1),"Data Missing")</f>
        <v>4.0506243889044358</v>
      </c>
      <c r="I44" s="164">
        <f t="shared" si="12"/>
        <v>5.1482500000000009</v>
      </c>
      <c r="J44" s="63"/>
      <c r="K44" s="63"/>
    </row>
    <row r="45" spans="2:11" x14ac:dyDescent="0.2">
      <c r="B45" s="3">
        <v>37</v>
      </c>
      <c r="C45" s="8">
        <f t="shared" si="9"/>
        <v>47119</v>
      </c>
      <c r="D45" s="19" t="str">
        <f t="shared" si="10"/>
        <v>Jan</v>
      </c>
      <c r="E45" s="9">
        <f t="shared" si="11"/>
        <v>2029</v>
      </c>
      <c r="F45" s="162">
        <f>Adjustments!U51</f>
        <v>4.6749999999999998</v>
      </c>
      <c r="G45" s="22">
        <f t="shared" si="8"/>
        <v>7.2472499999999993</v>
      </c>
      <c r="H45" s="22">
        <f>IFERROR(IFERROR(INDEX(Gas_EIA2,1,MATCH(E45,$L$10:$AF$10,FALSE)),0)*INDEX(NG_Load_Shape,MATCH($D45,Adjustments!$H$3:$H$14,0),1),"Data Missing")</f>
        <v>6.1113724775885974</v>
      </c>
      <c r="I45" s="164">
        <f>G45</f>
        <v>7.2472499999999993</v>
      </c>
    </row>
    <row r="46" spans="2:11" x14ac:dyDescent="0.2">
      <c r="B46" s="3">
        <v>38</v>
      </c>
      <c r="C46" s="8">
        <f t="shared" si="9"/>
        <v>47150</v>
      </c>
      <c r="D46" s="19" t="str">
        <f t="shared" si="10"/>
        <v>Feb</v>
      </c>
      <c r="E46" s="9">
        <f t="shared" si="11"/>
        <v>2029</v>
      </c>
      <c r="F46" s="162">
        <f>Adjustments!U52</f>
        <v>4.3330000000000002</v>
      </c>
      <c r="G46" s="22">
        <f t="shared" si="8"/>
        <v>6.3784999999999998</v>
      </c>
      <c r="H46" s="22">
        <f>IFERROR(IFERROR(INDEX(Gas_EIA2,1,MATCH(E46,$L$10:$AF$10,FALSE)),0)*INDEX(NG_Load_Shape,MATCH($D46,Adjustments!$H$3:$H$14,0),1),"Data Missing")</f>
        <v>5.383249956476222</v>
      </c>
      <c r="I46" s="164">
        <f>G46</f>
        <v>6.3784999999999998</v>
      </c>
    </row>
    <row r="47" spans="2:11" x14ac:dyDescent="0.2">
      <c r="B47" s="3">
        <v>39</v>
      </c>
      <c r="C47" s="8">
        <f t="shared" si="9"/>
        <v>47178</v>
      </c>
      <c r="D47" s="19" t="str">
        <f t="shared" si="10"/>
        <v>Mar</v>
      </c>
      <c r="E47" s="9">
        <f t="shared" si="11"/>
        <v>2029</v>
      </c>
      <c r="F47" s="162">
        <f>Adjustments!U53</f>
        <v>3.6389999999999998</v>
      </c>
      <c r="G47" s="22">
        <f t="shared" si="8"/>
        <v>3.4259999999999997</v>
      </c>
      <c r="H47" s="22">
        <f>IFERROR(IFERROR(INDEX(Gas_EIA2,1,MATCH(E47,$L$10:$AF$10,FALSE)),0)*INDEX(NG_Load_Shape,MATCH($D47,Adjustments!$H$3:$H$14,0),1),"Data Missing")</f>
        <v>2.9336877067059399</v>
      </c>
      <c r="I47" s="164">
        <f t="shared" si="12"/>
        <v>3.4259999999999997</v>
      </c>
    </row>
    <row r="48" spans="2:11" x14ac:dyDescent="0.2">
      <c r="B48" s="3">
        <v>40</v>
      </c>
      <c r="C48" s="8">
        <f t="shared" si="9"/>
        <v>47209</v>
      </c>
      <c r="D48" s="19" t="str">
        <f t="shared" si="10"/>
        <v>Apr</v>
      </c>
      <c r="E48" s="9">
        <f t="shared" si="11"/>
        <v>2029</v>
      </c>
      <c r="F48" s="162">
        <f>Adjustments!U54</f>
        <v>3.1749999999999998</v>
      </c>
      <c r="G48" s="22">
        <f t="shared" si="8"/>
        <v>2.7949999999999999</v>
      </c>
      <c r="H48" s="22">
        <f>IFERROR(IFERROR(INDEX(Gas_EIA2,1,MATCH(E48,$L$10:$AF$10,FALSE)),0)*INDEX(NG_Load_Shape,MATCH($D48,Adjustments!$H$3:$H$14,0),1),"Data Missing")</f>
        <v>2.4083111711505696</v>
      </c>
      <c r="I48" s="164">
        <f t="shared" si="12"/>
        <v>2.7949999999999999</v>
      </c>
    </row>
    <row r="49" spans="2:11" x14ac:dyDescent="0.2">
      <c r="B49" s="3">
        <v>41</v>
      </c>
      <c r="C49" s="8">
        <f t="shared" si="9"/>
        <v>47239</v>
      </c>
      <c r="D49" s="19" t="str">
        <f t="shared" si="10"/>
        <v>May</v>
      </c>
      <c r="E49" s="9">
        <f t="shared" si="11"/>
        <v>2029</v>
      </c>
      <c r="F49" s="162">
        <f>Adjustments!U55</f>
        <v>3.1539999999999999</v>
      </c>
      <c r="G49" s="22">
        <f t="shared" si="8"/>
        <v>2.476</v>
      </c>
      <c r="H49" s="22">
        <f>IFERROR(IFERROR(INDEX(Gas_EIA2,1,MATCH(E49,$L$10:$AF$10,FALSE)),0)*INDEX(NG_Load_Shape,MATCH($D49,Adjustments!$H$3:$H$14,0),1),"Data Missing")</f>
        <v>2.1339726396098766</v>
      </c>
      <c r="I49" s="164">
        <f t="shared" si="12"/>
        <v>2.476</v>
      </c>
    </row>
    <row r="50" spans="2:11" x14ac:dyDescent="0.2">
      <c r="B50" s="3">
        <v>42</v>
      </c>
      <c r="C50" s="8">
        <f t="shared" si="9"/>
        <v>47270</v>
      </c>
      <c r="D50" s="19" t="str">
        <f t="shared" si="10"/>
        <v>Jun</v>
      </c>
      <c r="E50" s="9">
        <f t="shared" si="11"/>
        <v>2029</v>
      </c>
      <c r="F50" s="162">
        <f>Adjustments!U56</f>
        <v>3.3039999999999998</v>
      </c>
      <c r="G50" s="22">
        <f t="shared" si="8"/>
        <v>2.5022500000000001</v>
      </c>
      <c r="H50" s="22">
        <f>IFERROR(IFERROR(INDEX(Gas_EIA2,1,MATCH(E50,$L$10:$AF$10,FALSE)),0)*INDEX(NG_Load_Shape,MATCH($D50,Adjustments!$H$3:$H$14,0),1),"Data Missing")</f>
        <v>2.1524152031088306</v>
      </c>
      <c r="I50" s="164">
        <f t="shared" si="12"/>
        <v>2.5022500000000001</v>
      </c>
    </row>
    <row r="51" spans="2:11" x14ac:dyDescent="0.2">
      <c r="B51" s="3">
        <v>43</v>
      </c>
      <c r="C51" s="8">
        <f t="shared" si="9"/>
        <v>47300</v>
      </c>
      <c r="D51" s="19" t="str">
        <f t="shared" si="10"/>
        <v>Jul</v>
      </c>
      <c r="E51" s="9">
        <f t="shared" si="11"/>
        <v>2029</v>
      </c>
      <c r="F51" s="162">
        <f>Adjustments!U57</f>
        <v>3.4740000000000002</v>
      </c>
      <c r="G51" s="22">
        <f t="shared" si="8"/>
        <v>2.6205000000000003</v>
      </c>
      <c r="H51" s="22">
        <f>IFERROR(IFERROR(INDEX(Gas_EIA2,1,MATCH(E51,$L$10:$AF$10,FALSE)),0)*INDEX(NG_Load_Shape,MATCH($D51,Adjustments!$H$3:$H$14,0),1),"Data Missing")</f>
        <v>2.2505995972909556</v>
      </c>
      <c r="I51" s="164">
        <f t="shared" si="12"/>
        <v>2.6205000000000003</v>
      </c>
    </row>
    <row r="52" spans="2:11" x14ac:dyDescent="0.2">
      <c r="B52" s="3">
        <v>44</v>
      </c>
      <c r="C52" s="8">
        <f t="shared" si="9"/>
        <v>47331</v>
      </c>
      <c r="D52" s="19" t="str">
        <f t="shared" si="10"/>
        <v>Aug</v>
      </c>
      <c r="E52" s="9">
        <f t="shared" si="11"/>
        <v>2029</v>
      </c>
      <c r="F52" s="162">
        <f>Adjustments!U58</f>
        <v>3.544</v>
      </c>
      <c r="G52" s="22">
        <f t="shared" si="8"/>
        <v>2.6657500000000001</v>
      </c>
      <c r="H52" s="22">
        <f>IFERROR(IFERROR(INDEX(Gas_EIA2,1,MATCH(E52,$L$10:$AF$10,FALSE)),0)*INDEX(NG_Load_Shape,MATCH($D52,Adjustments!$H$3:$H$14,0),1),"Data Missing")</f>
        <v>2.2856841906687726</v>
      </c>
      <c r="I52" s="164">
        <f t="shared" si="12"/>
        <v>2.6657500000000001</v>
      </c>
    </row>
    <row r="53" spans="2:11" x14ac:dyDescent="0.2">
      <c r="B53" s="3">
        <v>45</v>
      </c>
      <c r="C53" s="8">
        <f t="shared" si="9"/>
        <v>47362</v>
      </c>
      <c r="D53" s="19" t="str">
        <f t="shared" si="10"/>
        <v>Sep</v>
      </c>
      <c r="E53" s="9">
        <f t="shared" si="11"/>
        <v>2029</v>
      </c>
      <c r="F53" s="162">
        <f>Adjustments!U59</f>
        <v>3.5379999999999998</v>
      </c>
      <c r="G53" s="22">
        <f t="shared" si="8"/>
        <v>2.2882500000000001</v>
      </c>
      <c r="H53" s="22">
        <f>IFERROR(IFERROR(INDEX(Gas_EIA2,1,MATCH(E53,$L$10:$AF$10,FALSE)),0)*INDEX(NG_Load_Shape,MATCH($D53,Adjustments!$H$3:$H$14,0),1),"Data Missing")</f>
        <v>1.954143685828323</v>
      </c>
      <c r="I53" s="164">
        <f t="shared" si="12"/>
        <v>2.2882500000000001</v>
      </c>
    </row>
    <row r="54" spans="2:11" x14ac:dyDescent="0.2">
      <c r="B54" s="3">
        <v>46</v>
      </c>
      <c r="C54" s="8">
        <f t="shared" si="9"/>
        <v>47392</v>
      </c>
      <c r="D54" s="19" t="str">
        <f t="shared" si="10"/>
        <v>Oct</v>
      </c>
      <c r="E54" s="9">
        <f t="shared" si="11"/>
        <v>2029</v>
      </c>
      <c r="F54" s="162">
        <f>Adjustments!U60</f>
        <v>3.6110000000000002</v>
      </c>
      <c r="G54" s="22">
        <f t="shared" si="8"/>
        <v>2.3370000000000002</v>
      </c>
      <c r="H54" s="22">
        <f>IFERROR(IFERROR(INDEX(Gas_EIA2,1,MATCH(E54,$L$10:$AF$10,FALSE)),0)*INDEX(NG_Load_Shape,MATCH($D54,Adjustments!$H$3:$H$14,0),1),"Data Missing")</f>
        <v>1.9909160819325227</v>
      </c>
      <c r="I54" s="164">
        <f t="shared" si="12"/>
        <v>2.3370000000000002</v>
      </c>
    </row>
    <row r="55" spans="2:11" x14ac:dyDescent="0.2">
      <c r="B55" s="3">
        <v>47</v>
      </c>
      <c r="C55" s="8">
        <f t="shared" si="9"/>
        <v>47423</v>
      </c>
      <c r="D55" s="19" t="str">
        <f t="shared" si="10"/>
        <v>Nov</v>
      </c>
      <c r="E55" s="9">
        <f t="shared" si="11"/>
        <v>2029</v>
      </c>
      <c r="F55" s="162">
        <f>Adjustments!U61</f>
        <v>3.798</v>
      </c>
      <c r="G55" s="22">
        <f t="shared" si="8"/>
        <v>3.0342500000000001</v>
      </c>
      <c r="H55" s="22">
        <f>IFERROR(IFERROR(INDEX(Gas_EIA2,1,MATCH(E55,$L$10:$AF$10,FALSE)),0)*INDEX(NG_Load_Shape,MATCH($D55,Adjustments!$H$3:$H$14,0),1),"Data Missing")</f>
        <v>2.5978096963570532</v>
      </c>
      <c r="I55" s="164">
        <f t="shared" si="12"/>
        <v>3.0342500000000001</v>
      </c>
    </row>
    <row r="56" spans="2:11" x14ac:dyDescent="0.2">
      <c r="B56" s="3">
        <v>48</v>
      </c>
      <c r="C56" s="8">
        <f t="shared" si="9"/>
        <v>47453</v>
      </c>
      <c r="D56" s="19" t="str">
        <f t="shared" si="10"/>
        <v>Dec</v>
      </c>
      <c r="E56" s="9">
        <f t="shared" si="11"/>
        <v>2029</v>
      </c>
      <c r="F56" s="162">
        <f>Adjustments!U62</f>
        <v>4.2389999999999999</v>
      </c>
      <c r="G56" s="22">
        <f t="shared" si="8"/>
        <v>4.9772499999999997</v>
      </c>
      <c r="H56" s="22">
        <f>IFERROR(IFERROR(INDEX(Gas_EIA2,1,MATCH(E56,$L$10:$AF$10,FALSE)),0)*INDEX(NG_Load_Shape,MATCH($D56,Adjustments!$H$3:$H$14,0),1),"Data Missing")</f>
        <v>4.2388427981268295</v>
      </c>
      <c r="I56" s="164">
        <f t="shared" si="12"/>
        <v>4.9772499999999997</v>
      </c>
      <c r="J56" s="63"/>
      <c r="K56" s="63"/>
    </row>
    <row r="57" spans="2:11" x14ac:dyDescent="0.2">
      <c r="B57" s="3">
        <v>49</v>
      </c>
      <c r="C57" s="8">
        <f t="shared" si="9"/>
        <v>47484</v>
      </c>
      <c r="D57" s="19" t="str">
        <f t="shared" si="10"/>
        <v>Jan</v>
      </c>
      <c r="E57" s="9">
        <f t="shared" si="11"/>
        <v>2030</v>
      </c>
      <c r="F57" s="162">
        <f>Adjustments!U63</f>
        <v>4.5049999999999999</v>
      </c>
      <c r="G57" s="22">
        <f t="shared" ref="G57:G88" si="13">IFERROR((F57+INDEX(NG_Zone_Adjust,MONTH(C57),2)*(1+Inflation_Rate)^(E57-Start_Year-2)),"Data Missing")</f>
        <v>7.1286949999999996</v>
      </c>
      <c r="H57" s="22">
        <f>IFERROR(IFERROR(INDEX(Gas_EIA2,1,MATCH(E57,$L$10:$AF$10,FALSE)),0)*INDEX(NG_Load_Shape,MATCH($D57,Adjustments!$H$3:$H$14,0),1),"Data Missing")</f>
        <v>6.5402063641390003</v>
      </c>
      <c r="I57" s="164">
        <f t="shared" si="12"/>
        <v>7.1286949999999996</v>
      </c>
    </row>
    <row r="58" spans="2:11" x14ac:dyDescent="0.2">
      <c r="B58" s="3">
        <v>50</v>
      </c>
      <c r="C58" s="8">
        <f t="shared" si="9"/>
        <v>47515</v>
      </c>
      <c r="D58" s="19" t="str">
        <f t="shared" si="10"/>
        <v>Feb</v>
      </c>
      <c r="E58" s="9">
        <f t="shared" si="11"/>
        <v>2030</v>
      </c>
      <c r="F58" s="162">
        <f>Adjustments!U64</f>
        <v>4.22</v>
      </c>
      <c r="G58" s="22">
        <f t="shared" si="13"/>
        <v>6.3064099999999996</v>
      </c>
      <c r="H58" s="22">
        <f>IFERROR(IFERROR(INDEX(Gas_EIA2,1,MATCH(E58,$L$10:$AF$10,FALSE)),0)*INDEX(NG_Load_Shape,MATCH($D58,Adjustments!$H$3:$H$14,0),1),"Data Missing")</f>
        <v>5.7609916191835282</v>
      </c>
      <c r="I58" s="164">
        <f t="shared" si="12"/>
        <v>6.3064099999999996</v>
      </c>
    </row>
    <row r="59" spans="2:11" x14ac:dyDescent="0.2">
      <c r="B59" s="3">
        <v>51</v>
      </c>
      <c r="C59" s="8">
        <f t="shared" si="9"/>
        <v>47543</v>
      </c>
      <c r="D59" s="19" t="str">
        <f t="shared" si="10"/>
        <v>Mar</v>
      </c>
      <c r="E59" s="9">
        <f t="shared" si="11"/>
        <v>2030</v>
      </c>
      <c r="F59" s="162">
        <f>Adjustments!U65</f>
        <v>3.569</v>
      </c>
      <c r="G59" s="22">
        <f t="shared" si="13"/>
        <v>3.3517399999999999</v>
      </c>
      <c r="H59" s="22">
        <f>IFERROR(IFERROR(INDEX(Gas_EIA2,1,MATCH(E59,$L$10:$AF$10,FALSE)),0)*INDEX(NG_Load_Shape,MATCH($D59,Adjustments!$H$3:$H$14,0),1),"Data Missing")</f>
        <v>3.1395440353465811</v>
      </c>
      <c r="I59" s="164">
        <f t="shared" si="12"/>
        <v>3.3517399999999999</v>
      </c>
    </row>
    <row r="60" spans="2:11" x14ac:dyDescent="0.2">
      <c r="B60" s="3">
        <v>52</v>
      </c>
      <c r="C60" s="8">
        <f t="shared" si="9"/>
        <v>47574</v>
      </c>
      <c r="D60" s="19" t="str">
        <f t="shared" si="10"/>
        <v>Apr</v>
      </c>
      <c r="E60" s="9">
        <f t="shared" si="11"/>
        <v>2030</v>
      </c>
      <c r="F60" s="162">
        <f>Adjustments!U66</f>
        <v>3.0659999999999998</v>
      </c>
      <c r="G60" s="22">
        <f t="shared" si="13"/>
        <v>2.6783999999999999</v>
      </c>
      <c r="H60" s="22">
        <f>IFERROR(IFERROR(INDEX(Gas_EIA2,1,MATCH(E60,$L$10:$AF$10,FALSE)),0)*INDEX(NG_Load_Shape,MATCH($D60,Adjustments!$H$3:$H$14,0),1),"Data Missing")</f>
        <v>2.577301924591727</v>
      </c>
      <c r="I60" s="164">
        <f t="shared" si="12"/>
        <v>2.6783999999999999</v>
      </c>
    </row>
    <row r="61" spans="2:11" x14ac:dyDescent="0.2">
      <c r="B61" s="3">
        <v>53</v>
      </c>
      <c r="C61" s="8">
        <f t="shared" si="9"/>
        <v>47604</v>
      </c>
      <c r="D61" s="19" t="str">
        <f t="shared" si="10"/>
        <v>May</v>
      </c>
      <c r="E61" s="9">
        <f t="shared" si="11"/>
        <v>2030</v>
      </c>
      <c r="F61" s="162">
        <f>Adjustments!U67</f>
        <v>3.036</v>
      </c>
      <c r="G61" s="22">
        <f t="shared" si="13"/>
        <v>2.3444400000000001</v>
      </c>
      <c r="H61" s="22">
        <f>IFERROR(IFERROR(INDEX(Gas_EIA2,1,MATCH(E61,$L$10:$AF$10,FALSE)),0)*INDEX(NG_Load_Shape,MATCH($D61,Adjustments!$H$3:$H$14,0),1),"Data Missing")</f>
        <v>2.2837131085785116</v>
      </c>
      <c r="I61" s="164">
        <f t="shared" si="12"/>
        <v>2.3444400000000001</v>
      </c>
    </row>
    <row r="62" spans="2:11" x14ac:dyDescent="0.2">
      <c r="B62" s="3">
        <v>54</v>
      </c>
      <c r="C62" s="8">
        <f t="shared" si="9"/>
        <v>47635</v>
      </c>
      <c r="D62" s="19" t="str">
        <f t="shared" si="10"/>
        <v>Jun</v>
      </c>
      <c r="E62" s="9">
        <f t="shared" si="11"/>
        <v>2030</v>
      </c>
      <c r="F62" s="162">
        <f>Adjustments!U68</f>
        <v>3.1720000000000002</v>
      </c>
      <c r="G62" s="22">
        <f t="shared" si="13"/>
        <v>2.3542149999999999</v>
      </c>
      <c r="H62" s="22">
        <f>IFERROR(IFERROR(INDEX(Gas_EIA2,1,MATCH(E62,$L$10:$AF$10,FALSE)),0)*INDEX(NG_Load_Shape,MATCH($D62,Adjustments!$H$3:$H$14,0),1),"Data Missing")</f>
        <v>2.3034497833777037</v>
      </c>
      <c r="I62" s="164">
        <f t="shared" si="12"/>
        <v>2.3542149999999999</v>
      </c>
    </row>
    <row r="63" spans="2:11" x14ac:dyDescent="0.2">
      <c r="B63" s="3">
        <v>55</v>
      </c>
      <c r="C63" s="8">
        <f t="shared" si="9"/>
        <v>47665</v>
      </c>
      <c r="D63" s="19" t="str">
        <f t="shared" si="10"/>
        <v>Jul</v>
      </c>
      <c r="E63" s="9">
        <f t="shared" si="11"/>
        <v>2030</v>
      </c>
      <c r="F63" s="162">
        <f>Adjustments!U69</f>
        <v>3.323</v>
      </c>
      <c r="G63" s="22">
        <f t="shared" si="13"/>
        <v>2.4524299999999997</v>
      </c>
      <c r="H63" s="22">
        <f>IFERROR(IFERROR(INDEX(Gas_EIA2,1,MATCH(E63,$L$10:$AF$10,FALSE)),0)*INDEX(NG_Load_Shape,MATCH($D63,Adjustments!$H$3:$H$14,0),1),"Data Missing")</f>
        <v>2.4085237585025911</v>
      </c>
      <c r="I63" s="164">
        <f t="shared" si="12"/>
        <v>2.4524299999999997</v>
      </c>
    </row>
    <row r="64" spans="2:11" x14ac:dyDescent="0.2">
      <c r="B64" s="3">
        <v>56</v>
      </c>
      <c r="C64" s="8">
        <f t="shared" si="9"/>
        <v>47696</v>
      </c>
      <c r="D64" s="19" t="str">
        <f t="shared" si="10"/>
        <v>Aug</v>
      </c>
      <c r="E64" s="9">
        <f t="shared" si="11"/>
        <v>2030</v>
      </c>
      <c r="F64" s="162">
        <f>Adjustments!U70</f>
        <v>3.39</v>
      </c>
      <c r="G64" s="22">
        <f t="shared" si="13"/>
        <v>2.4941849999999999</v>
      </c>
      <c r="H64" s="22">
        <f>IFERROR(IFERROR(INDEX(Gas_EIA2,1,MATCH(E64,$L$10:$AF$10,FALSE)),0)*INDEX(NG_Load_Shape,MATCH($D64,Adjustments!$H$3:$H$14,0),1),"Data Missing")</f>
        <v>2.4460702313667957</v>
      </c>
      <c r="I64" s="164">
        <f>G64</f>
        <v>2.4941849999999999</v>
      </c>
    </row>
    <row r="65" spans="2:11" x14ac:dyDescent="0.2">
      <c r="B65" s="3">
        <v>57</v>
      </c>
      <c r="C65" s="8">
        <f t="shared" si="9"/>
        <v>47727</v>
      </c>
      <c r="D65" s="19" t="str">
        <f t="shared" si="10"/>
        <v>Sep</v>
      </c>
      <c r="E65" s="9">
        <f t="shared" si="11"/>
        <v>2030</v>
      </c>
      <c r="F65" s="162">
        <f>Adjustments!U71</f>
        <v>3.3660000000000001</v>
      </c>
      <c r="G65" s="22">
        <f t="shared" si="13"/>
        <v>2.0912550000000003</v>
      </c>
      <c r="H65" s="22">
        <f>IFERROR(IFERROR(INDEX(Gas_EIA2,1,MATCH(E65,$L$10:$AF$10,FALSE)),0)*INDEX(NG_Load_Shape,MATCH($D65,Adjustments!$H$3:$H$14,0),1),"Data Missing")</f>
        <v>2.0912655900723833</v>
      </c>
      <c r="I65" s="164">
        <f t="shared" si="12"/>
        <v>2.0912550000000003</v>
      </c>
    </row>
    <row r="66" spans="2:11" x14ac:dyDescent="0.2">
      <c r="B66" s="3">
        <v>58</v>
      </c>
      <c r="C66" s="8">
        <f t="shared" si="9"/>
        <v>47757</v>
      </c>
      <c r="D66" s="19" t="str">
        <f t="shared" si="10"/>
        <v>Oct</v>
      </c>
      <c r="E66" s="9">
        <f t="shared" si="11"/>
        <v>2030</v>
      </c>
      <c r="F66" s="162">
        <f>Adjustments!U72</f>
        <v>3.4409999999999998</v>
      </c>
      <c r="G66" s="22">
        <f t="shared" si="13"/>
        <v>2.1415199999999999</v>
      </c>
      <c r="H66" s="22">
        <f>IFERROR(IFERROR(INDEX(Gas_EIA2,1,MATCH(E66,$L$10:$AF$10,FALSE)),0)*INDEX(NG_Load_Shape,MATCH($D66,Adjustments!$H$3:$H$14,0),1),"Data Missing")</f>
        <v>2.1306182984709103</v>
      </c>
      <c r="I66" s="164">
        <f t="shared" si="12"/>
        <v>2.1415199999999999</v>
      </c>
    </row>
    <row r="67" spans="2:11" x14ac:dyDescent="0.2">
      <c r="B67" s="3">
        <v>59</v>
      </c>
      <c r="C67" s="8">
        <f t="shared" si="9"/>
        <v>47788</v>
      </c>
      <c r="D67" s="19" t="str">
        <f t="shared" si="10"/>
        <v>Nov</v>
      </c>
      <c r="E67" s="9">
        <f t="shared" si="11"/>
        <v>2030</v>
      </c>
      <c r="F67" s="162">
        <f>Adjustments!U73</f>
        <v>3.6320000000000001</v>
      </c>
      <c r="G67" s="22">
        <f t="shared" si="13"/>
        <v>2.8529749999999998</v>
      </c>
      <c r="H67" s="22">
        <f>IFERROR(IFERROR(INDEX(Gas_EIA2,1,MATCH(E67,$L$10:$AF$10,FALSE)),0)*INDEX(NG_Load_Shape,MATCH($D67,Adjustments!$H$3:$H$14,0),1),"Data Missing")</f>
        <v>2.7800975265772605</v>
      </c>
      <c r="I67" s="164">
        <f>G67</f>
        <v>2.8529749999999998</v>
      </c>
    </row>
    <row r="68" spans="2:11" x14ac:dyDescent="0.2">
      <c r="B68" s="3">
        <v>60</v>
      </c>
      <c r="C68" s="8">
        <f t="shared" si="9"/>
        <v>47818</v>
      </c>
      <c r="D68" s="19" t="str">
        <f t="shared" si="10"/>
        <v>Dec</v>
      </c>
      <c r="E68" s="9">
        <f t="shared" si="11"/>
        <v>2030</v>
      </c>
      <c r="F68" s="162">
        <f>Adjustments!U74</f>
        <v>4.0640000000000001</v>
      </c>
      <c r="G68" s="22">
        <f t="shared" si="13"/>
        <v>4.8170150000000005</v>
      </c>
      <c r="H68" s="22">
        <f>IFERROR(IFERROR(INDEX(Gas_EIA2,1,MATCH(E68,$L$10:$AF$10,FALSE)),0)*INDEX(NG_Load_Shape,MATCH($D68,Adjustments!$H$3:$H$14,0),1),"Data Missing")</f>
        <v>4.5362816203002341</v>
      </c>
      <c r="I68" s="164">
        <f>G68</f>
        <v>4.8170150000000005</v>
      </c>
      <c r="J68" s="63"/>
      <c r="K68" s="63"/>
    </row>
    <row r="69" spans="2:11" x14ac:dyDescent="0.2">
      <c r="B69" s="3">
        <v>61</v>
      </c>
      <c r="C69" s="8">
        <f t="shared" si="9"/>
        <v>47849</v>
      </c>
      <c r="D69" s="19" t="str">
        <f t="shared" si="10"/>
        <v>Jan</v>
      </c>
      <c r="E69" s="9">
        <f t="shared" si="11"/>
        <v>2031</v>
      </c>
      <c r="F69" s="162">
        <f>Adjustments!U75</f>
        <v>4.3339999999999996</v>
      </c>
      <c r="G69" s="22">
        <f t="shared" si="13"/>
        <v>7.0101688999999991</v>
      </c>
      <c r="H69" s="22">
        <f>IFERROR(IFERROR(INDEX(Gas_EIA2,1,MATCH(E69,$L$10:$AF$10,FALSE)),0)*INDEX(NG_Load_Shape,MATCH($D69,Adjustments!$H$3:$H$14,0),1),"Data Missing")</f>
        <v>6.8941137857924737</v>
      </c>
      <c r="I69" s="15">
        <f>IFERROR(G69+((H69-G69)*((E69-Start_Year-3)/7)),"Data Missing")</f>
        <v>6.9935895979703524</v>
      </c>
      <c r="K69" s="63"/>
    </row>
    <row r="70" spans="2:11" x14ac:dyDescent="0.2">
      <c r="B70" s="3">
        <v>62</v>
      </c>
      <c r="C70" s="8">
        <f t="shared" si="9"/>
        <v>47880</v>
      </c>
      <c r="D70" s="19" t="str">
        <f t="shared" si="10"/>
        <v>Feb</v>
      </c>
      <c r="E70" s="9">
        <f t="shared" si="11"/>
        <v>2031</v>
      </c>
      <c r="F70" s="162">
        <f>Adjustments!U76</f>
        <v>4.0640000000000001</v>
      </c>
      <c r="G70" s="22">
        <f t="shared" si="13"/>
        <v>6.1921381999999996</v>
      </c>
      <c r="H70" s="22">
        <f>IFERROR(IFERROR(INDEX(Gas_EIA2,1,MATCH(E70,$L$10:$AF$10,FALSE)),0)*INDEX(NG_Load_Shape,MATCH($D70,Adjustments!$H$3:$H$14,0),1),"Data Missing")</f>
        <v>6.0727337228107006</v>
      </c>
      <c r="I70" s="15">
        <f t="shared" ref="I70:I100" si="14">IFERROR(G70+((H70-G70)*((E70-Start_Year-3)/7)),"Data Missing")</f>
        <v>6.1750804175443852</v>
      </c>
      <c r="K70" s="63"/>
    </row>
    <row r="71" spans="2:11" x14ac:dyDescent="0.2">
      <c r="B71" s="3">
        <v>63</v>
      </c>
      <c r="C71" s="8">
        <f t="shared" si="9"/>
        <v>47908</v>
      </c>
      <c r="D71" s="19" t="str">
        <f t="shared" si="10"/>
        <v>Mar</v>
      </c>
      <c r="E71" s="9">
        <f t="shared" si="11"/>
        <v>2031</v>
      </c>
      <c r="F71" s="162">
        <f>Adjustments!U77</f>
        <v>3.4289999999999998</v>
      </c>
      <c r="G71" s="22">
        <f t="shared" si="13"/>
        <v>3.2073947999999999</v>
      </c>
      <c r="H71" s="22">
        <f>IFERROR(IFERROR(INDEX(Gas_EIA2,1,MATCH(E71,$L$10:$AF$10,FALSE)),0)*INDEX(NG_Load_Shape,MATCH($D71,Adjustments!$H$3:$H$14,0),1),"Data Missing")</f>
        <v>3.3094328542697018</v>
      </c>
      <c r="I71" s="15">
        <f t="shared" si="14"/>
        <v>3.2219716648956718</v>
      </c>
      <c r="K71" s="63"/>
    </row>
    <row r="72" spans="2:11" x14ac:dyDescent="0.2">
      <c r="B72" s="3">
        <v>64</v>
      </c>
      <c r="C72" s="8">
        <f t="shared" si="9"/>
        <v>47939</v>
      </c>
      <c r="D72" s="19" t="str">
        <f t="shared" si="10"/>
        <v>Apr</v>
      </c>
      <c r="E72" s="9">
        <f t="shared" si="11"/>
        <v>2031</v>
      </c>
      <c r="F72" s="162">
        <f>Adjustments!U78</f>
        <v>3.032</v>
      </c>
      <c r="G72" s="22">
        <f t="shared" si="13"/>
        <v>2.6366480000000001</v>
      </c>
      <c r="H72" s="22">
        <f>IFERROR(IFERROR(INDEX(Gas_EIA2,1,MATCH(E72,$L$10:$AF$10,FALSE)),0)*INDEX(NG_Load_Shape,MATCH($D72,Adjustments!$H$3:$H$14,0),1),"Data Missing")</f>
        <v>2.7167663739027041</v>
      </c>
      <c r="I72" s="15">
        <f t="shared" si="14"/>
        <v>2.6480934819861006</v>
      </c>
      <c r="K72" s="63"/>
    </row>
    <row r="73" spans="2:11" x14ac:dyDescent="0.2">
      <c r="B73" s="3">
        <v>65</v>
      </c>
      <c r="C73" s="8">
        <f t="shared" ref="C73:C136" si="15">DATE(Start_Year-1,B73,1)</f>
        <v>47969</v>
      </c>
      <c r="D73" s="19" t="str">
        <f t="shared" ref="D73:D136" si="16">CHOOSE(MONTH(C73), "Jan", "Feb", "Mar", "Apr", "May", "Jun", "Jul", "Aug", "Sep", "Oct", "Nov", "Dec")</f>
        <v>May</v>
      </c>
      <c r="E73" s="9">
        <f t="shared" si="11"/>
        <v>2031</v>
      </c>
      <c r="F73" s="162">
        <f>Adjustments!U79</f>
        <v>3.05</v>
      </c>
      <c r="G73" s="22">
        <f t="shared" si="13"/>
        <v>2.3446087999999996</v>
      </c>
      <c r="H73" s="22">
        <f>IFERROR(IFERROR(INDEX(Gas_EIA2,1,MATCH(E73,$L$10:$AF$10,FALSE)),0)*INDEX(NG_Load_Shape,MATCH($D73,Adjustments!$H$3:$H$14,0),1),"Data Missing")</f>
        <v>2.4072907104237493</v>
      </c>
      <c r="I73" s="15">
        <f t="shared" si="14"/>
        <v>2.353563358631964</v>
      </c>
      <c r="K73" s="63"/>
    </row>
    <row r="74" spans="2:11" x14ac:dyDescent="0.2">
      <c r="B74" s="3">
        <v>66</v>
      </c>
      <c r="C74" s="8">
        <f t="shared" si="15"/>
        <v>48000</v>
      </c>
      <c r="D74" s="19" t="str">
        <f t="shared" si="16"/>
        <v>Jun</v>
      </c>
      <c r="E74" s="9">
        <f t="shared" ref="E74:E137" si="17">YEAR(C74)</f>
        <v>2031</v>
      </c>
      <c r="F74" s="162">
        <f>Adjustments!U80</f>
        <v>3.1850000000000001</v>
      </c>
      <c r="G74" s="22">
        <f t="shared" si="13"/>
        <v>2.3508593000000002</v>
      </c>
      <c r="H74" s="22">
        <f>IFERROR(IFERROR(INDEX(Gas_EIA2,1,MATCH(E74,$L$10:$AF$10,FALSE)),0)*INDEX(NG_Load_Shape,MATCH($D74,Adjustments!$H$3:$H$14,0),1),"Data Missing")</f>
        <v>2.4280953875612918</v>
      </c>
      <c r="I74" s="15">
        <f t="shared" si="14"/>
        <v>2.3618930267944704</v>
      </c>
      <c r="K74" s="63"/>
    </row>
    <row r="75" spans="2:11" x14ac:dyDescent="0.2">
      <c r="B75" s="3">
        <v>67</v>
      </c>
      <c r="C75" s="8">
        <f t="shared" si="15"/>
        <v>48030</v>
      </c>
      <c r="D75" s="19" t="str">
        <f t="shared" si="16"/>
        <v>Jul</v>
      </c>
      <c r="E75" s="9">
        <f t="shared" si="17"/>
        <v>2031</v>
      </c>
      <c r="F75" s="162">
        <f>Adjustments!U81</f>
        <v>3.331</v>
      </c>
      <c r="G75" s="22">
        <f t="shared" si="13"/>
        <v>2.4430185999999998</v>
      </c>
      <c r="H75" s="22">
        <f>IFERROR(IFERROR(INDEX(Gas_EIA2,1,MATCH(E75,$L$10:$AF$10,FALSE)),0)*INDEX(NG_Load_Shape,MATCH($D75,Adjustments!$H$3:$H$14,0),1),"Data Missing")</f>
        <v>2.5388551862747484</v>
      </c>
      <c r="I75" s="15">
        <f t="shared" si="14"/>
        <v>2.4567095408963926</v>
      </c>
      <c r="K75" s="63"/>
    </row>
    <row r="76" spans="2:11" x14ac:dyDescent="0.2">
      <c r="B76" s="3">
        <v>68</v>
      </c>
      <c r="C76" s="8">
        <f t="shared" si="15"/>
        <v>48061</v>
      </c>
      <c r="D76" s="19" t="str">
        <f t="shared" si="16"/>
        <v>Aug</v>
      </c>
      <c r="E76" s="9">
        <f t="shared" si="17"/>
        <v>2031</v>
      </c>
      <c r="F76" s="162">
        <f>Adjustments!U82</f>
        <v>3.359</v>
      </c>
      <c r="G76" s="22">
        <f t="shared" si="13"/>
        <v>2.4452687000000002</v>
      </c>
      <c r="H76" s="22">
        <f>IFERROR(IFERROR(INDEX(Gas_EIA2,1,MATCH(E76,$L$10:$AF$10,FALSE)),0)*INDEX(NG_Load_Shape,MATCH($D76,Adjustments!$H$3:$H$14,0),1),"Data Missing")</f>
        <v>2.5784333955496592</v>
      </c>
      <c r="I76" s="15">
        <f t="shared" si="14"/>
        <v>2.4642922279356658</v>
      </c>
      <c r="K76" s="63"/>
    </row>
    <row r="77" spans="2:11" x14ac:dyDescent="0.2">
      <c r="B77" s="3">
        <v>69</v>
      </c>
      <c r="C77" s="8">
        <f t="shared" si="15"/>
        <v>48092</v>
      </c>
      <c r="D77" s="19" t="str">
        <f t="shared" si="16"/>
        <v>Sep</v>
      </c>
      <c r="E77" s="9">
        <f t="shared" si="17"/>
        <v>2031</v>
      </c>
      <c r="F77" s="162">
        <f>Adjustments!U83</f>
        <v>3.3250000000000002</v>
      </c>
      <c r="G77" s="22">
        <f t="shared" si="13"/>
        <v>2.0247601000000004</v>
      </c>
      <c r="H77" s="22">
        <f>IFERROR(IFERROR(INDEX(Gas_EIA2,1,MATCH(E77,$L$10:$AF$10,FALSE)),0)*INDEX(NG_Load_Shape,MATCH($D77,Adjustments!$H$3:$H$14,0),1),"Data Missing")</f>
        <v>2.2044293607193333</v>
      </c>
      <c r="I77" s="15">
        <f t="shared" si="14"/>
        <v>2.0504271372456193</v>
      </c>
      <c r="K77" s="63"/>
    </row>
    <row r="78" spans="2:11" x14ac:dyDescent="0.2">
      <c r="B78" s="3">
        <v>70</v>
      </c>
      <c r="C78" s="8">
        <f t="shared" si="15"/>
        <v>48122</v>
      </c>
      <c r="D78" s="19" t="str">
        <f t="shared" si="16"/>
        <v>Oct</v>
      </c>
      <c r="E78" s="9">
        <f t="shared" si="17"/>
        <v>2031</v>
      </c>
      <c r="F78" s="162">
        <f>Adjustments!U84</f>
        <v>3.3879999999999999</v>
      </c>
      <c r="G78" s="22">
        <f t="shared" si="13"/>
        <v>2.0625304</v>
      </c>
      <c r="H78" s="22">
        <f>IFERROR(IFERROR(INDEX(Gas_EIA2,1,MATCH(E78,$L$10:$AF$10,FALSE)),0)*INDEX(NG_Load_Shape,MATCH($D78,Adjustments!$H$3:$H$14,0),1),"Data Missing")</f>
        <v>2.2459115455883225</v>
      </c>
      <c r="I78" s="15">
        <f t="shared" si="14"/>
        <v>2.0887277065126173</v>
      </c>
      <c r="K78" s="63"/>
    </row>
    <row r="79" spans="2:11" x14ac:dyDescent="0.2">
      <c r="B79" s="3">
        <v>71</v>
      </c>
      <c r="C79" s="8">
        <f t="shared" si="15"/>
        <v>48153</v>
      </c>
      <c r="D79" s="19" t="str">
        <f t="shared" si="16"/>
        <v>Nov</v>
      </c>
      <c r="E79" s="9">
        <f t="shared" si="17"/>
        <v>2031</v>
      </c>
      <c r="F79" s="162">
        <f>Adjustments!U85</f>
        <v>3.581</v>
      </c>
      <c r="G79" s="22">
        <f t="shared" si="13"/>
        <v>2.7863944999999997</v>
      </c>
      <c r="H79" s="22">
        <f>IFERROR(IFERROR(INDEX(Gas_EIA2,1,MATCH(E79,$L$10:$AF$10,FALSE)),0)*INDEX(NG_Load_Shape,MATCH($D79,Adjustments!$H$3:$H$14,0),1),"Data Missing")</f>
        <v>2.9305357685524713</v>
      </c>
      <c r="I79" s="15">
        <f t="shared" si="14"/>
        <v>2.8069861097932098</v>
      </c>
      <c r="K79" s="63"/>
    </row>
    <row r="80" spans="2:11" x14ac:dyDescent="0.2">
      <c r="B80" s="3">
        <v>72</v>
      </c>
      <c r="C80" s="8">
        <f t="shared" si="15"/>
        <v>48183</v>
      </c>
      <c r="D80" s="19" t="str">
        <f t="shared" si="16"/>
        <v>Dec</v>
      </c>
      <c r="E80" s="9">
        <f t="shared" si="17"/>
        <v>2031</v>
      </c>
      <c r="F80" s="162">
        <f>Adjustments!U86</f>
        <v>4.0279999999999996</v>
      </c>
      <c r="G80" s="22">
        <f t="shared" si="13"/>
        <v>4.7960753</v>
      </c>
      <c r="H80" s="22">
        <f>IFERROR(IFERROR(INDEX(Gas_EIA2,1,MATCH(E80,$L$10:$AF$10,FALSE)),0)*INDEX(NG_Load_Shape,MATCH($D80,Adjustments!$H$3:$H$14,0),1),"Data Missing")</f>
        <v>4.7817515095895526</v>
      </c>
      <c r="I80" s="15">
        <f t="shared" si="14"/>
        <v>4.794029044227079</v>
      </c>
      <c r="K80" s="63"/>
    </row>
    <row r="81" spans="2:11" x14ac:dyDescent="0.2">
      <c r="B81" s="3">
        <v>73</v>
      </c>
      <c r="C81" s="8">
        <f t="shared" si="15"/>
        <v>48214</v>
      </c>
      <c r="D81" s="19" t="str">
        <f t="shared" si="16"/>
        <v>Jan</v>
      </c>
      <c r="E81" s="9">
        <f t="shared" si="17"/>
        <v>2032</v>
      </c>
      <c r="F81" s="162">
        <f>Adjustments!U87</f>
        <v>4.298</v>
      </c>
      <c r="G81" s="22">
        <f t="shared" si="13"/>
        <v>7.027692278</v>
      </c>
      <c r="H81" s="22">
        <f>IFERROR(IFERROR(INDEX(Gas_EIA2,1,MATCH(E81,$L$10:$AF$10,FALSE)),0)*INDEX(NG_Load_Shape,MATCH($D81,Adjustments!$H$3:$H$14,0),1),"Data Missing")</f>
        <v>7.9066028239944428</v>
      </c>
      <c r="I81" s="15">
        <f t="shared" si="14"/>
        <v>7.2788095768555552</v>
      </c>
      <c r="K81" s="63"/>
    </row>
    <row r="82" spans="2:11" x14ac:dyDescent="0.2">
      <c r="B82" s="3">
        <v>74</v>
      </c>
      <c r="C82" s="8">
        <f t="shared" si="15"/>
        <v>48245</v>
      </c>
      <c r="D82" s="19" t="str">
        <f t="shared" si="16"/>
        <v>Feb</v>
      </c>
      <c r="E82" s="9">
        <f t="shared" si="17"/>
        <v>2032</v>
      </c>
      <c r="F82" s="162">
        <f>Adjustments!U88</f>
        <v>4.0279999999999996</v>
      </c>
      <c r="G82" s="22">
        <f t="shared" si="13"/>
        <v>6.1987009639999986</v>
      </c>
      <c r="H82" s="22">
        <f>IFERROR(IFERROR(INDEX(Gas_EIA2,1,MATCH(E82,$L$10:$AF$10,FALSE)),0)*INDEX(NG_Load_Shape,MATCH($D82,Adjustments!$H$3:$H$14,0),1),"Data Missing")</f>
        <v>6.9645925631646817</v>
      </c>
      <c r="I82" s="15">
        <f t="shared" si="14"/>
        <v>6.4175271351899079</v>
      </c>
      <c r="K82" s="63"/>
    </row>
    <row r="83" spans="2:11" x14ac:dyDescent="0.2">
      <c r="B83" s="3">
        <v>75</v>
      </c>
      <c r="C83" s="8">
        <f t="shared" si="15"/>
        <v>48274</v>
      </c>
      <c r="D83" s="19" t="str">
        <f t="shared" si="16"/>
        <v>Mar</v>
      </c>
      <c r="E83" s="9">
        <f t="shared" si="17"/>
        <v>2032</v>
      </c>
      <c r="F83" s="162">
        <f>Adjustments!U89</f>
        <v>3.363</v>
      </c>
      <c r="G83" s="22">
        <f t="shared" si="13"/>
        <v>3.1369626959999999</v>
      </c>
      <c r="H83" s="22">
        <f>IFERROR(IFERROR(INDEX(Gas_EIA2,1,MATCH(E83,$L$10:$AF$10,FALSE)),0)*INDEX(NG_Load_Shape,MATCH($D83,Adjustments!$H$3:$H$14,0),1),"Data Missing")</f>
        <v>3.7954655180355434</v>
      </c>
      <c r="I83" s="15">
        <f t="shared" si="14"/>
        <v>3.3251063594387267</v>
      </c>
      <c r="K83" s="63"/>
    </row>
    <row r="84" spans="2:11" x14ac:dyDescent="0.2">
      <c r="B84" s="3">
        <v>76</v>
      </c>
      <c r="C84" s="8">
        <f t="shared" si="15"/>
        <v>48305</v>
      </c>
      <c r="D84" s="19" t="str">
        <f t="shared" si="16"/>
        <v>Apr</v>
      </c>
      <c r="E84" s="9">
        <f t="shared" si="17"/>
        <v>2032</v>
      </c>
      <c r="F84" s="162">
        <f>Adjustments!U90</f>
        <v>2.883</v>
      </c>
      <c r="G84" s="22">
        <f t="shared" si="13"/>
        <v>2.47974096</v>
      </c>
      <c r="H84" s="22">
        <f>IFERROR(IFERROR(INDEX(Gas_EIA2,1,MATCH(E84,$L$10:$AF$10,FALSE)),0)*INDEX(NG_Load_Shape,MATCH($D84,Adjustments!$H$3:$H$14,0),1),"Data Missing")</f>
        <v>3.1157583630690118</v>
      </c>
      <c r="I84" s="15">
        <f t="shared" si="14"/>
        <v>2.6614602180197178</v>
      </c>
      <c r="K84" s="63"/>
    </row>
    <row r="85" spans="2:11" x14ac:dyDescent="0.2">
      <c r="B85" s="3">
        <v>77</v>
      </c>
      <c r="C85" s="8">
        <f t="shared" si="15"/>
        <v>48335</v>
      </c>
      <c r="D85" s="19" t="str">
        <f t="shared" si="16"/>
        <v>May</v>
      </c>
      <c r="E85" s="9">
        <f t="shared" si="17"/>
        <v>2032</v>
      </c>
      <c r="F85" s="162">
        <f>Adjustments!U91</f>
        <v>2.863</v>
      </c>
      <c r="G85" s="22">
        <f t="shared" si="13"/>
        <v>2.1435009759999999</v>
      </c>
      <c r="H85" s="22">
        <f>IFERROR(IFERROR(INDEX(Gas_EIA2,1,MATCH(E85,$L$10:$AF$10,FALSE)),0)*INDEX(NG_Load_Shape,MATCH($D85,Adjustments!$H$3:$H$14,0),1),"Data Missing")</f>
        <v>2.7608322288553753</v>
      </c>
      <c r="I85" s="15">
        <f t="shared" si="14"/>
        <v>2.3198813339586786</v>
      </c>
      <c r="K85" s="63"/>
    </row>
    <row r="86" spans="2:11" x14ac:dyDescent="0.2">
      <c r="B86" s="3">
        <v>78</v>
      </c>
      <c r="C86" s="8">
        <f t="shared" si="15"/>
        <v>48366</v>
      </c>
      <c r="D86" s="19" t="str">
        <f t="shared" si="16"/>
        <v>Jun</v>
      </c>
      <c r="E86" s="9">
        <f t="shared" si="17"/>
        <v>2032</v>
      </c>
      <c r="F86" s="162">
        <f>Adjustments!U92</f>
        <v>3.0129999999999999</v>
      </c>
      <c r="G86" s="22">
        <f t="shared" si="13"/>
        <v>2.1621764859999999</v>
      </c>
      <c r="H86" s="22">
        <f>IFERROR(IFERROR(INDEX(Gas_EIA2,1,MATCH(E86,$L$10:$AF$10,FALSE)),0)*INDEX(NG_Load_Shape,MATCH($D86,Adjustments!$H$3:$H$14,0),1),"Data Missing")</f>
        <v>2.7846923396860062</v>
      </c>
      <c r="I86" s="15">
        <f t="shared" si="14"/>
        <v>2.340038158481716</v>
      </c>
      <c r="K86" s="63"/>
    </row>
    <row r="87" spans="2:11" x14ac:dyDescent="0.2">
      <c r="B87" s="3">
        <v>79</v>
      </c>
      <c r="C87" s="8">
        <f t="shared" si="15"/>
        <v>48396</v>
      </c>
      <c r="D87" s="19" t="str">
        <f t="shared" si="16"/>
        <v>Jul</v>
      </c>
      <c r="E87" s="9">
        <f t="shared" si="17"/>
        <v>2032</v>
      </c>
      <c r="F87" s="162">
        <f>Adjustments!U93</f>
        <v>3.173</v>
      </c>
      <c r="G87" s="22">
        <f t="shared" si="13"/>
        <v>2.267258972</v>
      </c>
      <c r="H87" s="22">
        <f>IFERROR(IFERROR(INDEX(Gas_EIA2,1,MATCH(E87,$L$10:$AF$10,FALSE)),0)*INDEX(NG_Load_Shape,MATCH($D87,Adjustments!$H$3:$H$14,0),1),"Data Missing")</f>
        <v>2.9117186355237101</v>
      </c>
      <c r="I87" s="15">
        <f t="shared" si="14"/>
        <v>2.4513903044353458</v>
      </c>
      <c r="K87" s="63"/>
    </row>
    <row r="88" spans="2:11" x14ac:dyDescent="0.2">
      <c r="B88" s="3">
        <v>80</v>
      </c>
      <c r="C88" s="8">
        <f t="shared" si="15"/>
        <v>48427</v>
      </c>
      <c r="D88" s="19" t="str">
        <f t="shared" si="16"/>
        <v>Aug</v>
      </c>
      <c r="E88" s="9">
        <f t="shared" si="17"/>
        <v>2032</v>
      </c>
      <c r="F88" s="162">
        <f>Adjustments!U94</f>
        <v>3.2050000000000001</v>
      </c>
      <c r="G88" s="22">
        <f t="shared" si="13"/>
        <v>2.2729940740000001</v>
      </c>
      <c r="H88" s="22">
        <f>IFERROR(IFERROR(INDEX(Gas_EIA2,1,MATCH(E88,$L$10:$AF$10,FALSE)),0)*INDEX(NG_Load_Shape,MATCH($D88,Adjustments!$H$3:$H$14,0),1),"Data Missing")</f>
        <v>2.9571094124886255</v>
      </c>
      <c r="I88" s="15">
        <f t="shared" si="14"/>
        <v>2.4684555992824646</v>
      </c>
      <c r="K88" s="63"/>
    </row>
    <row r="89" spans="2:11" x14ac:dyDescent="0.2">
      <c r="B89" s="3">
        <v>81</v>
      </c>
      <c r="C89" s="8">
        <f t="shared" si="15"/>
        <v>48458</v>
      </c>
      <c r="D89" s="19" t="str">
        <f t="shared" si="16"/>
        <v>Sep</v>
      </c>
      <c r="E89" s="9">
        <f t="shared" si="17"/>
        <v>2032</v>
      </c>
      <c r="F89" s="162">
        <f>Adjustments!U95</f>
        <v>3.18</v>
      </c>
      <c r="G89" s="22">
        <f t="shared" ref="G89:G120" si="18">IFERROR((F89+INDEX(NG_Zone_Adjust,MONTH(C89),2)*(1+Inflation_Rate)^(E89-Start_Year-2)),"Data Missing")</f>
        <v>1.8537553020000006</v>
      </c>
      <c r="H89" s="22">
        <f>IFERROR(IFERROR(INDEX(Gas_EIA2,1,MATCH(E89,$L$10:$AF$10,FALSE)),0)*INDEX(NG_Load_Shape,MATCH($D89,Adjustments!$H$3:$H$14,0),1),"Data Missing")</f>
        <v>2.5281780879043367</v>
      </c>
      <c r="I89" s="15">
        <f t="shared" si="14"/>
        <v>2.0464475265440965</v>
      </c>
      <c r="K89" s="63"/>
    </row>
    <row r="90" spans="2:11" x14ac:dyDescent="0.2">
      <c r="B90" s="3">
        <v>82</v>
      </c>
      <c r="C90" s="8">
        <f t="shared" si="15"/>
        <v>48488</v>
      </c>
      <c r="D90" s="19" t="str">
        <f t="shared" si="16"/>
        <v>Oct</v>
      </c>
      <c r="E90" s="9">
        <f t="shared" si="17"/>
        <v>2032</v>
      </c>
      <c r="F90" s="162">
        <f>Adjustments!U96</f>
        <v>3.2549999999999999</v>
      </c>
      <c r="G90" s="22">
        <f t="shared" si="18"/>
        <v>1.9030210080000001</v>
      </c>
      <c r="H90" s="22">
        <f>IFERROR(IFERROR(INDEX(Gas_EIA2,1,MATCH(E90,$L$10:$AF$10,FALSE)),0)*INDEX(NG_Load_Shape,MATCH($D90,Adjustments!$H$3:$H$14,0),1),"Data Missing")</f>
        <v>2.5757524637010527</v>
      </c>
      <c r="I90" s="15">
        <f t="shared" si="14"/>
        <v>2.0952299953431579</v>
      </c>
      <c r="K90" s="63"/>
    </row>
    <row r="91" spans="2:11" x14ac:dyDescent="0.2">
      <c r="B91" s="3">
        <v>83</v>
      </c>
      <c r="C91" s="8">
        <f t="shared" si="15"/>
        <v>48519</v>
      </c>
      <c r="D91" s="19" t="str">
        <f t="shared" si="16"/>
        <v>Nov</v>
      </c>
      <c r="E91" s="9">
        <f t="shared" si="17"/>
        <v>2032</v>
      </c>
      <c r="F91" s="162">
        <f>Adjustments!U97</f>
        <v>3.4849999999999999</v>
      </c>
      <c r="G91" s="22">
        <f t="shared" si="18"/>
        <v>2.6745023899999998</v>
      </c>
      <c r="H91" s="22">
        <f>IFERROR(IFERROR(INDEX(Gas_EIA2,1,MATCH(E91,$L$10:$AF$10,FALSE)),0)*INDEX(NG_Load_Shape,MATCH($D91,Adjustments!$H$3:$H$14,0),1),"Data Missing")</f>
        <v>3.3609225352798924</v>
      </c>
      <c r="I91" s="15">
        <f t="shared" si="14"/>
        <v>2.8706224315085405</v>
      </c>
      <c r="K91" s="63"/>
    </row>
    <row r="92" spans="2:11" x14ac:dyDescent="0.2">
      <c r="B92" s="3">
        <v>84</v>
      </c>
      <c r="C92" s="8">
        <f t="shared" si="15"/>
        <v>48549</v>
      </c>
      <c r="D92" s="19" t="str">
        <f t="shared" si="16"/>
        <v>Dec</v>
      </c>
      <c r="E92" s="9">
        <f t="shared" si="17"/>
        <v>2032</v>
      </c>
      <c r="F92" s="162">
        <f>Adjustments!U98</f>
        <v>3.915</v>
      </c>
      <c r="G92" s="22">
        <f t="shared" si="18"/>
        <v>4.6984368060000001</v>
      </c>
      <c r="H92" s="22">
        <f>IFERROR(IFERROR(INDEX(Gas_EIA2,1,MATCH(E92,$L$10:$AF$10,FALSE)),0)*INDEX(NG_Load_Shape,MATCH($D92,Adjustments!$H$3:$H$14,0),1),"Data Missing")</f>
        <v>5.4840130528850146</v>
      </c>
      <c r="I92" s="15">
        <f t="shared" si="14"/>
        <v>4.9228871622528612</v>
      </c>
      <c r="K92" s="63"/>
    </row>
    <row r="93" spans="2:11" x14ac:dyDescent="0.2">
      <c r="B93" s="3">
        <v>85</v>
      </c>
      <c r="C93" s="8">
        <f t="shared" si="15"/>
        <v>48580</v>
      </c>
      <c r="D93" s="19" t="str">
        <f t="shared" si="16"/>
        <v>Jan</v>
      </c>
      <c r="E93" s="9">
        <f t="shared" si="17"/>
        <v>2033</v>
      </c>
      <c r="F93" s="162">
        <f>Adjustments!U99</f>
        <v>4.165</v>
      </c>
      <c r="G93" s="22">
        <f t="shared" si="18"/>
        <v>6.9492861235599994</v>
      </c>
      <c r="H93" s="22">
        <f>IFERROR(IFERROR(INDEX(Gas_EIA2,1,MATCH(E93,$L$10:$AF$10,FALSE)),0)*INDEX(NG_Load_Shape,MATCH($D93,Adjustments!$H$3:$H$14,0),1),"Data Missing")</f>
        <v>8.7163170411860413</v>
      </c>
      <c r="I93" s="15">
        <f t="shared" si="14"/>
        <v>7.7065850882568743</v>
      </c>
      <c r="K93" s="63"/>
    </row>
    <row r="94" spans="2:11" x14ac:dyDescent="0.2">
      <c r="B94" s="3">
        <v>86</v>
      </c>
      <c r="C94" s="8">
        <f t="shared" si="15"/>
        <v>48611</v>
      </c>
      <c r="D94" s="19" t="str">
        <f t="shared" si="16"/>
        <v>Feb</v>
      </c>
      <c r="E94" s="9">
        <f t="shared" si="17"/>
        <v>2033</v>
      </c>
      <c r="F94" s="162">
        <f>Adjustments!U100</f>
        <v>3.9</v>
      </c>
      <c r="G94" s="22">
        <f t="shared" si="18"/>
        <v>6.1141149832799995</v>
      </c>
      <c r="H94" s="22">
        <f>IFERROR(IFERROR(INDEX(Gas_EIA2,1,MATCH(E94,$L$10:$AF$10,FALSE)),0)*INDEX(NG_Load_Shape,MATCH($D94,Adjustments!$H$3:$H$14,0),1),"Data Missing")</f>
        <v>7.6778356260674308</v>
      </c>
      <c r="I94" s="15">
        <f t="shared" si="14"/>
        <v>6.7842809730460409</v>
      </c>
      <c r="K94" s="63"/>
    </row>
    <row r="95" spans="2:11" x14ac:dyDescent="0.2">
      <c r="B95" s="3">
        <v>87</v>
      </c>
      <c r="C95" s="8">
        <f t="shared" si="15"/>
        <v>48639</v>
      </c>
      <c r="D95" s="19" t="str">
        <f t="shared" si="16"/>
        <v>Mar</v>
      </c>
      <c r="E95" s="9">
        <f t="shared" si="17"/>
        <v>2033</v>
      </c>
      <c r="F95" s="162">
        <f>Adjustments!U101</f>
        <v>3.28</v>
      </c>
      <c r="G95" s="22">
        <f t="shared" si="18"/>
        <v>3.0494419499199998</v>
      </c>
      <c r="H95" s="22">
        <f>IFERROR(IFERROR(INDEX(Gas_EIA2,1,MATCH(E95,$L$10:$AF$10,FALSE)),0)*INDEX(NG_Load_Shape,MATCH($D95,Adjustments!$H$3:$H$14,0),1),"Data Missing")</f>
        <v>4.1841586722543669</v>
      </c>
      <c r="I95" s="15">
        <f t="shared" si="14"/>
        <v>3.5357491166347286</v>
      </c>
      <c r="K95" s="63"/>
    </row>
    <row r="96" spans="2:11" x14ac:dyDescent="0.2">
      <c r="B96" s="3">
        <v>88</v>
      </c>
      <c r="C96" s="8">
        <f t="shared" si="15"/>
        <v>48670</v>
      </c>
      <c r="D96" s="19" t="str">
        <f t="shared" si="16"/>
        <v>Apr</v>
      </c>
      <c r="E96" s="9">
        <f t="shared" si="17"/>
        <v>2033</v>
      </c>
      <c r="F96" s="162">
        <f>Adjustments!U102</f>
        <v>2.83</v>
      </c>
      <c r="G96" s="22">
        <f t="shared" si="18"/>
        <v>2.4186757792</v>
      </c>
      <c r="H96" s="22">
        <f>IFERROR(IFERROR(INDEX(Gas_EIA2,1,MATCH(E96,$L$10:$AF$10,FALSE)),0)*INDEX(NG_Load_Shape,MATCH($D96,Adjustments!$H$3:$H$14,0),1),"Data Missing")</f>
        <v>3.434842791624642</v>
      </c>
      <c r="I96" s="15">
        <f t="shared" si="14"/>
        <v>2.8541759273819896</v>
      </c>
      <c r="K96" s="63"/>
    </row>
    <row r="97" spans="2:11" x14ac:dyDescent="0.2">
      <c r="B97" s="3">
        <v>89</v>
      </c>
      <c r="C97" s="8">
        <f t="shared" si="15"/>
        <v>48700</v>
      </c>
      <c r="D97" s="19" t="str">
        <f t="shared" si="16"/>
        <v>May</v>
      </c>
      <c r="E97" s="9">
        <f t="shared" si="17"/>
        <v>2033</v>
      </c>
      <c r="F97" s="162">
        <f>Adjustments!U103</f>
        <v>2.86</v>
      </c>
      <c r="G97" s="22">
        <f t="shared" si="18"/>
        <v>2.1261109955199999</v>
      </c>
      <c r="H97" s="22">
        <f>IFERROR(IFERROR(INDEX(Gas_EIA2,1,MATCH(E97,$L$10:$AF$10,FALSE)),0)*INDEX(NG_Load_Shape,MATCH($D97,Adjustments!$H$3:$H$14,0),1),"Data Missing")</f>
        <v>3.0435687159090645</v>
      </c>
      <c r="I97" s="15">
        <f t="shared" si="14"/>
        <v>2.5193071614010276</v>
      </c>
      <c r="K97" s="63"/>
    </row>
    <row r="98" spans="2:11" x14ac:dyDescent="0.2">
      <c r="B98" s="3">
        <v>90</v>
      </c>
      <c r="C98" s="8">
        <f t="shared" si="15"/>
        <v>48731</v>
      </c>
      <c r="D98" s="19" t="str">
        <f t="shared" si="16"/>
        <v>Jun</v>
      </c>
      <c r="E98" s="9">
        <f t="shared" si="17"/>
        <v>2033</v>
      </c>
      <c r="F98" s="162">
        <f>Adjustments!U104</f>
        <v>3.0019999999999998</v>
      </c>
      <c r="G98" s="22">
        <f t="shared" si="18"/>
        <v>2.13416001572</v>
      </c>
      <c r="H98" s="22">
        <f>IFERROR(IFERROR(INDEX(Gas_EIA2,1,MATCH(E98,$L$10:$AF$10,FALSE)),0)*INDEX(NG_Load_Shape,MATCH($D98,Adjustments!$H$3:$H$14,0),1),"Data Missing")</f>
        <v>3.0698723377384645</v>
      </c>
      <c r="I98" s="15">
        <f t="shared" si="14"/>
        <v>2.5351795822993419</v>
      </c>
      <c r="K98" s="63"/>
    </row>
    <row r="99" spans="2:11" x14ac:dyDescent="0.2">
      <c r="B99" s="3">
        <v>91</v>
      </c>
      <c r="C99" s="8">
        <f t="shared" si="15"/>
        <v>48761</v>
      </c>
      <c r="D99" s="19" t="str">
        <f t="shared" si="16"/>
        <v>Jul</v>
      </c>
      <c r="E99" s="9">
        <f t="shared" si="17"/>
        <v>2033</v>
      </c>
      <c r="F99" s="162">
        <f>Adjustments!U105</f>
        <v>3.1669999999999998</v>
      </c>
      <c r="G99" s="22">
        <f t="shared" si="18"/>
        <v>2.2431441514399997</v>
      </c>
      <c r="H99" s="22">
        <f>IFERROR(IFERROR(INDEX(Gas_EIA2,1,MATCH(E99,$L$10:$AF$10,FALSE)),0)*INDEX(NG_Load_Shape,MATCH($D99,Adjustments!$H$3:$H$14,0),1),"Data Missing")</f>
        <v>3.2099073808202867</v>
      </c>
      <c r="I99" s="15">
        <f t="shared" si="14"/>
        <v>2.657471249745837</v>
      </c>
      <c r="K99" s="63"/>
    </row>
    <row r="100" spans="2:11" x14ac:dyDescent="0.2">
      <c r="B100" s="3">
        <v>92</v>
      </c>
      <c r="C100" s="8">
        <f t="shared" si="15"/>
        <v>48792</v>
      </c>
      <c r="D100" s="19" t="str">
        <f t="shared" si="16"/>
        <v>Aug</v>
      </c>
      <c r="E100" s="9">
        <f t="shared" si="17"/>
        <v>2033</v>
      </c>
      <c r="F100" s="162">
        <f>Adjustments!U106</f>
        <v>3.2069999999999999</v>
      </c>
      <c r="G100" s="22">
        <f t="shared" si="18"/>
        <v>2.2563539554799998</v>
      </c>
      <c r="H100" s="22">
        <f>IFERROR(IFERROR(INDEX(Gas_EIA2,1,MATCH(E100,$L$10:$AF$10,FALSE)),0)*INDEX(NG_Load_Shape,MATCH($D100,Adjustments!$H$3:$H$14,0),1),"Data Missing")</f>
        <v>3.2599466216395294</v>
      </c>
      <c r="I100" s="15">
        <f t="shared" si="14"/>
        <v>2.6864650981197982</v>
      </c>
      <c r="K100" s="63"/>
    </row>
    <row r="101" spans="2:11" x14ac:dyDescent="0.2">
      <c r="B101" s="3">
        <v>93</v>
      </c>
      <c r="C101" s="8">
        <f t="shared" si="15"/>
        <v>48823</v>
      </c>
      <c r="D101" s="19" t="str">
        <f t="shared" si="16"/>
        <v>Sep</v>
      </c>
      <c r="E101" s="9">
        <f t="shared" si="17"/>
        <v>2033</v>
      </c>
      <c r="F101" s="162">
        <f>Adjustments!U107</f>
        <v>3.1819999999999999</v>
      </c>
      <c r="G101" s="22">
        <f t="shared" si="18"/>
        <v>1.8292304080400004</v>
      </c>
      <c r="H101" s="22">
        <f>IFERROR(IFERROR(INDEX(Gas_EIA2,1,MATCH(E101,$L$10:$AF$10,FALSE)),0)*INDEX(NG_Load_Shape,MATCH($D101,Adjustments!$H$3:$H$14,0),1),"Data Missing")</f>
        <v>2.7870884931615736</v>
      </c>
      <c r="I101" s="15">
        <f t="shared" ref="I101:I132" si="19">IFERROR(G101+((H101-G101)*((E101-Start_Year-3)/7)),"Data Missing")</f>
        <v>2.2397410159492459</v>
      </c>
      <c r="K101" s="63"/>
    </row>
    <row r="102" spans="2:11" x14ac:dyDescent="0.2">
      <c r="B102" s="3">
        <v>94</v>
      </c>
      <c r="C102" s="8">
        <f t="shared" si="15"/>
        <v>48853</v>
      </c>
      <c r="D102" s="19" t="str">
        <f t="shared" si="16"/>
        <v>Oct</v>
      </c>
      <c r="E102" s="9">
        <f t="shared" si="17"/>
        <v>2033</v>
      </c>
      <c r="F102" s="162">
        <f>Adjustments!U108</f>
        <v>3.2280000000000002</v>
      </c>
      <c r="G102" s="22">
        <f t="shared" si="18"/>
        <v>1.8489814281600001</v>
      </c>
      <c r="H102" s="22">
        <f>IFERROR(IFERROR(INDEX(Gas_EIA2,1,MATCH(E102,$L$10:$AF$10,FALSE)),0)*INDEX(NG_Load_Shape,MATCH($D102,Adjustments!$H$3:$H$14,0),1),"Data Missing")</f>
        <v>2.83953495489888</v>
      </c>
      <c r="I102" s="15">
        <f t="shared" si="19"/>
        <v>2.2735043681909488</v>
      </c>
      <c r="K102" s="63"/>
    </row>
    <row r="103" spans="2:11" x14ac:dyDescent="0.2">
      <c r="B103" s="3">
        <v>95</v>
      </c>
      <c r="C103" s="8">
        <f t="shared" si="15"/>
        <v>48884</v>
      </c>
      <c r="D103" s="19" t="str">
        <f t="shared" si="16"/>
        <v>Nov</v>
      </c>
      <c r="E103" s="9">
        <f t="shared" si="17"/>
        <v>2033</v>
      </c>
      <c r="F103" s="162">
        <f>Adjustments!U109</f>
        <v>3.488</v>
      </c>
      <c r="G103" s="22">
        <f t="shared" si="18"/>
        <v>2.6612924377999998</v>
      </c>
      <c r="H103" s="22">
        <f>IFERROR(IFERROR(INDEX(Gas_EIA2,1,MATCH(E103,$L$10:$AF$10,FALSE)),0)*INDEX(NG_Load_Shape,MATCH($D103,Adjustments!$H$3:$H$14,0),1),"Data Missing")</f>
        <v>3.7051141963858574</v>
      </c>
      <c r="I103" s="15">
        <f t="shared" si="19"/>
        <v>3.1086446200510816</v>
      </c>
      <c r="K103" s="63"/>
    </row>
    <row r="104" spans="2:11" x14ac:dyDescent="0.2">
      <c r="B104" s="3">
        <v>96</v>
      </c>
      <c r="C104" s="8">
        <f t="shared" si="15"/>
        <v>48914</v>
      </c>
      <c r="D104" s="19" t="str">
        <f t="shared" si="16"/>
        <v>Dec</v>
      </c>
      <c r="E104" s="9">
        <f t="shared" si="17"/>
        <v>2033</v>
      </c>
      <c r="F104" s="162">
        <f>Adjustments!U110</f>
        <v>3.8879999999999999</v>
      </c>
      <c r="G104" s="22">
        <f t="shared" si="18"/>
        <v>4.6871055421200003</v>
      </c>
      <c r="H104" s="22">
        <f>IFERROR(IFERROR(INDEX(Gas_EIA2,1,MATCH(E104,$L$10:$AF$10,FALSE)),0)*INDEX(NG_Load_Shape,MATCH($D104,Adjustments!$H$3:$H$14,0),1),"Data Missing")</f>
        <v>6.04563015128151</v>
      </c>
      <c r="I104" s="15">
        <f t="shared" si="19"/>
        <v>5.2693303746177902</v>
      </c>
      <c r="K104" s="63"/>
    </row>
    <row r="105" spans="2:11" x14ac:dyDescent="0.2">
      <c r="B105" s="3">
        <v>97</v>
      </c>
      <c r="C105" s="8">
        <f t="shared" si="15"/>
        <v>48945</v>
      </c>
      <c r="D105" s="19" t="str">
        <f t="shared" si="16"/>
        <v>Jan</v>
      </c>
      <c r="E105" s="9">
        <f t="shared" si="17"/>
        <v>2034</v>
      </c>
      <c r="F105" s="162">
        <f>Adjustments!U111</f>
        <v>4.1429999999999998</v>
      </c>
      <c r="G105" s="22">
        <f t="shared" si="18"/>
        <v>6.9829718460311998</v>
      </c>
      <c r="H105" s="22">
        <f>IFERROR(IFERROR(INDEX(Gas_EIA2,1,MATCH(E105,$L$10:$AF$10,FALSE)),0)*INDEX(NG_Load_Shape,MATCH($D105,Adjustments!$H$3:$H$14,0),1),"Data Missing")</f>
        <v>9.1831777937593788</v>
      </c>
      <c r="I105" s="15">
        <f t="shared" si="19"/>
        <v>8.2402323875901597</v>
      </c>
      <c r="K105" s="63"/>
    </row>
    <row r="106" spans="2:11" x14ac:dyDescent="0.2">
      <c r="B106" s="3">
        <v>98</v>
      </c>
      <c r="C106" s="8">
        <f t="shared" si="15"/>
        <v>48976</v>
      </c>
      <c r="D106" s="19" t="str">
        <f t="shared" si="16"/>
        <v>Feb</v>
      </c>
      <c r="E106" s="9">
        <f t="shared" si="17"/>
        <v>2034</v>
      </c>
      <c r="F106" s="162">
        <f>Adjustments!U112</f>
        <v>3.903</v>
      </c>
      <c r="G106" s="22">
        <f t="shared" si="18"/>
        <v>6.1613972829456003</v>
      </c>
      <c r="H106" s="22">
        <f>IFERROR(IFERROR(INDEX(Gas_EIA2,1,MATCH(E106,$L$10:$AF$10,FALSE)),0)*INDEX(NG_Load_Shape,MATCH($D106,Adjustments!$H$3:$H$14,0),1),"Data Missing")</f>
        <v>8.0890735493305428</v>
      </c>
      <c r="I106" s="15">
        <f t="shared" si="19"/>
        <v>7.2629265780227099</v>
      </c>
      <c r="K106" s="63"/>
    </row>
    <row r="107" spans="2:11" x14ac:dyDescent="0.2">
      <c r="B107" s="3">
        <v>99</v>
      </c>
      <c r="C107" s="8">
        <f t="shared" si="15"/>
        <v>49004</v>
      </c>
      <c r="D107" s="19" t="str">
        <f t="shared" si="16"/>
        <v>Mar</v>
      </c>
      <c r="E107" s="9">
        <f t="shared" si="17"/>
        <v>2034</v>
      </c>
      <c r="F107" s="162">
        <f>Adjustments!U113</f>
        <v>3.3029999999999999</v>
      </c>
      <c r="G107" s="22">
        <f t="shared" si="18"/>
        <v>3.0678307889183998</v>
      </c>
      <c r="H107" s="22">
        <f>IFERROR(IFERROR(INDEX(Gas_EIA2,1,MATCH(E107,$L$10:$AF$10,FALSE)),0)*INDEX(NG_Load_Shape,MATCH($D107,Adjustments!$H$3:$H$14,0),1),"Data Missing")</f>
        <v>4.4082693209818853</v>
      </c>
      <c r="I107" s="15">
        <f t="shared" si="19"/>
        <v>3.8337956643832487</v>
      </c>
      <c r="K107" s="63"/>
    </row>
    <row r="108" spans="2:11" x14ac:dyDescent="0.2">
      <c r="B108" s="3">
        <v>100</v>
      </c>
      <c r="C108" s="8">
        <f t="shared" si="15"/>
        <v>49035</v>
      </c>
      <c r="D108" s="19" t="str">
        <f t="shared" si="16"/>
        <v>Apr</v>
      </c>
      <c r="E108" s="9">
        <f t="shared" si="17"/>
        <v>2034</v>
      </c>
      <c r="F108" s="162">
        <f>Adjustments!U114</f>
        <v>2.903</v>
      </c>
      <c r="G108" s="22">
        <f t="shared" si="18"/>
        <v>2.4834492947840001</v>
      </c>
      <c r="H108" s="22">
        <f>IFERROR(IFERROR(INDEX(Gas_EIA2,1,MATCH(E108,$L$10:$AF$10,FALSE)),0)*INDEX(NG_Load_Shape,MATCH($D108,Adjustments!$H$3:$H$14,0),1),"Data Missing")</f>
        <v>3.6188188084551149</v>
      </c>
      <c r="I108" s="15">
        <f t="shared" si="19"/>
        <v>3.1322318740246371</v>
      </c>
      <c r="K108" s="63"/>
    </row>
    <row r="109" spans="2:11" x14ac:dyDescent="0.2">
      <c r="B109" s="3">
        <v>101</v>
      </c>
      <c r="C109" s="8">
        <f t="shared" si="15"/>
        <v>49065</v>
      </c>
      <c r="D109" s="19" t="str">
        <f t="shared" si="16"/>
        <v>May</v>
      </c>
      <c r="E109" s="9">
        <f t="shared" si="17"/>
        <v>2034</v>
      </c>
      <c r="F109" s="162">
        <f>Adjustments!U115</f>
        <v>2.9329999999999998</v>
      </c>
      <c r="G109" s="22">
        <f t="shared" si="18"/>
        <v>2.1844332154304</v>
      </c>
      <c r="H109" s="22">
        <f>IFERROR(IFERROR(INDEX(Gas_EIA2,1,MATCH(E109,$L$10:$AF$10,FALSE)),0)*INDEX(NG_Load_Shape,MATCH($D109,Adjustments!$H$3:$H$14,0),1),"Data Missing")</f>
        <v>3.2065874283427536</v>
      </c>
      <c r="I109" s="15">
        <f t="shared" si="19"/>
        <v>2.7685213370946018</v>
      </c>
      <c r="K109" s="63"/>
    </row>
    <row r="110" spans="2:11" x14ac:dyDescent="0.2">
      <c r="B110" s="3">
        <v>102</v>
      </c>
      <c r="C110" s="8">
        <f t="shared" si="15"/>
        <v>49096</v>
      </c>
      <c r="D110" s="19" t="str">
        <f t="shared" si="16"/>
        <v>Jun</v>
      </c>
      <c r="E110" s="9">
        <f t="shared" si="17"/>
        <v>2034</v>
      </c>
      <c r="F110" s="162">
        <f>Adjustments!U116</f>
        <v>3.0630000000000002</v>
      </c>
      <c r="G110" s="22">
        <f t="shared" si="18"/>
        <v>2.1778032160344001</v>
      </c>
      <c r="H110" s="22">
        <f>IFERROR(IFERROR(INDEX(Gas_EIA2,1,MATCH(E110,$L$10:$AF$10,FALSE)),0)*INDEX(NG_Load_Shape,MATCH($D110,Adjustments!$H$3:$H$14,0),1),"Data Missing")</f>
        <v>3.2342999168557141</v>
      </c>
      <c r="I110" s="15">
        <f t="shared" si="19"/>
        <v>2.7815156165037225</v>
      </c>
      <c r="K110" s="63"/>
    </row>
    <row r="111" spans="2:11" x14ac:dyDescent="0.2">
      <c r="B111" s="3">
        <v>103</v>
      </c>
      <c r="C111" s="8">
        <f t="shared" si="15"/>
        <v>49126</v>
      </c>
      <c r="D111" s="19" t="str">
        <f t="shared" si="16"/>
        <v>Jul</v>
      </c>
      <c r="E111" s="9">
        <f t="shared" si="17"/>
        <v>2034</v>
      </c>
      <c r="F111" s="162">
        <f>Adjustments!U117</f>
        <v>3.2080000000000002</v>
      </c>
      <c r="G111" s="22">
        <f t="shared" si="18"/>
        <v>2.2656670344687999</v>
      </c>
      <c r="H111" s="22">
        <f>IFERROR(IFERROR(INDEX(Gas_EIA2,1,MATCH(E111,$L$10:$AF$10,FALSE)),0)*INDEX(NG_Load_Shape,MATCH($D111,Adjustments!$H$3:$H$14,0),1),"Data Missing")</f>
        <v>3.3818354748099191</v>
      </c>
      <c r="I111" s="15">
        <f t="shared" si="19"/>
        <v>2.9034775718065822</v>
      </c>
      <c r="K111" s="63"/>
    </row>
    <row r="112" spans="2:11" x14ac:dyDescent="0.2">
      <c r="B112" s="3">
        <v>104</v>
      </c>
      <c r="C112" s="8">
        <f t="shared" si="15"/>
        <v>49157</v>
      </c>
      <c r="D112" s="19" t="str">
        <f t="shared" si="16"/>
        <v>Aug</v>
      </c>
      <c r="E112" s="9">
        <f t="shared" si="17"/>
        <v>2034</v>
      </c>
      <c r="F112" s="162">
        <f>Adjustments!U118</f>
        <v>3.2480000000000002</v>
      </c>
      <c r="G112" s="22">
        <f t="shared" si="18"/>
        <v>2.2783410345896002</v>
      </c>
      <c r="H112" s="22">
        <f>IFERROR(IFERROR(INDEX(Gas_EIA2,1,MATCH(E112,$L$10:$AF$10,FALSE)),0)*INDEX(NG_Load_Shape,MATCH($D112,Adjustments!$H$3:$H$14,0),1),"Data Missing")</f>
        <v>3.4345549024003272</v>
      </c>
      <c r="I112" s="15">
        <f t="shared" si="19"/>
        <v>2.939034673338587</v>
      </c>
      <c r="K112" s="63"/>
    </row>
    <row r="113" spans="2:11" x14ac:dyDescent="0.2">
      <c r="B113" s="3">
        <v>105</v>
      </c>
      <c r="C113" s="8">
        <f t="shared" si="15"/>
        <v>49188</v>
      </c>
      <c r="D113" s="19" t="str">
        <f t="shared" si="16"/>
        <v>Sep</v>
      </c>
      <c r="E113" s="9">
        <f t="shared" si="17"/>
        <v>2034</v>
      </c>
      <c r="F113" s="162">
        <f>Adjustments!U119</f>
        <v>3.2629999999999999</v>
      </c>
      <c r="G113" s="22">
        <f t="shared" si="18"/>
        <v>1.8831750162008003</v>
      </c>
      <c r="H113" s="22">
        <f>IFERROR(IFERROR(INDEX(Gas_EIA2,1,MATCH(E113,$L$10:$AF$10,FALSE)),0)*INDEX(NG_Load_Shape,MATCH($D113,Adjustments!$H$3:$H$14,0),1),"Data Missing")</f>
        <v>2.9363696890218889</v>
      </c>
      <c r="I113" s="15">
        <f t="shared" si="19"/>
        <v>2.4850005435271365</v>
      </c>
      <c r="K113" s="63"/>
    </row>
    <row r="114" spans="2:11" x14ac:dyDescent="0.2">
      <c r="B114" s="3">
        <v>106</v>
      </c>
      <c r="C114" s="8">
        <f t="shared" si="15"/>
        <v>49218</v>
      </c>
      <c r="D114" s="19" t="str">
        <f t="shared" si="16"/>
        <v>Oct</v>
      </c>
      <c r="E114" s="9">
        <f t="shared" si="17"/>
        <v>2034</v>
      </c>
      <c r="F114" s="162">
        <f>Adjustments!U120</f>
        <v>3.3090000000000002</v>
      </c>
      <c r="G114" s="22">
        <f t="shared" si="18"/>
        <v>1.9024010567232001</v>
      </c>
      <c r="H114" s="22">
        <f>IFERROR(IFERROR(INDEX(Gas_EIA2,1,MATCH(E114,$L$10:$AF$10,FALSE)),0)*INDEX(NG_Load_Shape,MATCH($D114,Adjustments!$H$3:$H$14,0),1),"Data Missing")</f>
        <v>2.9916252723733807</v>
      </c>
      <c r="I114" s="15">
        <f t="shared" si="19"/>
        <v>2.524814894237589</v>
      </c>
      <c r="K114" s="63"/>
    </row>
    <row r="115" spans="2:11" x14ac:dyDescent="0.2">
      <c r="B115" s="3">
        <v>107</v>
      </c>
      <c r="C115" s="8">
        <f t="shared" si="15"/>
        <v>49249</v>
      </c>
      <c r="D115" s="19" t="str">
        <f t="shared" si="16"/>
        <v>Nov</v>
      </c>
      <c r="E115" s="9">
        <f t="shared" si="17"/>
        <v>2034</v>
      </c>
      <c r="F115" s="162">
        <f>Adjustments!U121</f>
        <v>3.5489999999999999</v>
      </c>
      <c r="G115" s="22">
        <f t="shared" si="18"/>
        <v>2.7057582865559997</v>
      </c>
      <c r="H115" s="22">
        <f>IFERROR(IFERROR(INDEX(Gas_EIA2,1,MATCH(E115,$L$10:$AF$10,FALSE)),0)*INDEX(NG_Load_Shape,MATCH($D115,Adjustments!$H$3:$H$14,0),1),"Data Missing")</f>
        <v>3.9035664089340463</v>
      </c>
      <c r="I115" s="15">
        <f t="shared" si="19"/>
        <v>3.3902200707720263</v>
      </c>
      <c r="K115" s="63"/>
    </row>
    <row r="116" spans="2:11" x14ac:dyDescent="0.2">
      <c r="B116" s="3">
        <v>108</v>
      </c>
      <c r="C116" s="8">
        <f t="shared" si="15"/>
        <v>49279</v>
      </c>
      <c r="D116" s="19" t="str">
        <f t="shared" si="16"/>
        <v>Dec</v>
      </c>
      <c r="E116" s="9">
        <f t="shared" si="17"/>
        <v>2034</v>
      </c>
      <c r="F116" s="162">
        <f>Adjustments!U122</f>
        <v>3.9489999999999998</v>
      </c>
      <c r="G116" s="22">
        <f t="shared" si="18"/>
        <v>4.7640876529624006</v>
      </c>
      <c r="H116" s="22">
        <f>IFERROR(IFERROR(INDEX(Gas_EIA2,1,MATCH(E116,$L$10:$AF$10,FALSE)),0)*INDEX(NG_Load_Shape,MATCH($D116,Adjustments!$H$3:$H$14,0),1),"Data Missing")</f>
        <v>6.3694443756690253</v>
      </c>
      <c r="I116" s="15">
        <f t="shared" si="19"/>
        <v>5.6814343516518999</v>
      </c>
      <c r="K116" s="63"/>
    </row>
    <row r="117" spans="2:11" x14ac:dyDescent="0.2">
      <c r="B117" s="3">
        <v>109</v>
      </c>
      <c r="C117" s="8">
        <f t="shared" si="15"/>
        <v>49310</v>
      </c>
      <c r="D117" s="19" t="str">
        <f t="shared" si="16"/>
        <v>Jan</v>
      </c>
      <c r="E117" s="9">
        <f t="shared" si="17"/>
        <v>2035</v>
      </c>
      <c r="F117" s="162">
        <f>Adjustments!U123</f>
        <v>4.1689999999999996</v>
      </c>
      <c r="G117" s="22">
        <f t="shared" si="18"/>
        <v>7.0657712829518236</v>
      </c>
      <c r="H117" s="22">
        <f>IFERROR(IFERROR(INDEX(Gas_EIA2,1,MATCH(E117,$L$10:$AF$10,FALSE)),0)*INDEX(NG_Load_Shape,MATCH($D117,Adjustments!$H$3:$H$14,0),1),"Data Missing")</f>
        <v>9.4543606339516106</v>
      </c>
      <c r="I117" s="15">
        <f t="shared" si="19"/>
        <v>8.7719065336659572</v>
      </c>
      <c r="K117" s="63"/>
    </row>
    <row r="118" spans="2:11" x14ac:dyDescent="0.2">
      <c r="B118" s="3">
        <v>110</v>
      </c>
      <c r="C118" s="8">
        <f t="shared" si="15"/>
        <v>49341</v>
      </c>
      <c r="D118" s="19" t="str">
        <f t="shared" si="16"/>
        <v>Feb</v>
      </c>
      <c r="E118" s="9">
        <f t="shared" si="17"/>
        <v>2035</v>
      </c>
      <c r="F118" s="162">
        <f>Adjustments!U124</f>
        <v>3.9289999999999998</v>
      </c>
      <c r="G118" s="22">
        <f t="shared" si="18"/>
        <v>6.2325652286045115</v>
      </c>
      <c r="H118" s="22">
        <f>IFERROR(IFERROR(INDEX(Gas_EIA2,1,MATCH(E118,$L$10:$AF$10,FALSE)),0)*INDEX(NG_Load_Shape,MATCH($D118,Adjustments!$H$3:$H$14,0),1),"Data Missing")</f>
        <v>8.3279470622796268</v>
      </c>
      <c r="I118" s="15">
        <f t="shared" si="19"/>
        <v>7.7292665383724515</v>
      </c>
      <c r="K118" s="63"/>
    </row>
    <row r="119" spans="2:11" x14ac:dyDescent="0.2">
      <c r="B119" s="3">
        <v>111</v>
      </c>
      <c r="C119" s="8">
        <f t="shared" si="15"/>
        <v>49369</v>
      </c>
      <c r="D119" s="19" t="str">
        <f t="shared" si="16"/>
        <v>Mar</v>
      </c>
      <c r="E119" s="9">
        <f t="shared" si="17"/>
        <v>2035</v>
      </c>
      <c r="F119" s="162">
        <f>Adjustments!U125</f>
        <v>3.4990000000000001</v>
      </c>
      <c r="G119" s="22">
        <f t="shared" si="18"/>
        <v>3.259127404696768</v>
      </c>
      <c r="H119" s="22">
        <f>IFERROR(IFERROR(INDEX(Gas_EIA2,1,MATCH(E119,$L$10:$AF$10,FALSE)),0)*INDEX(NG_Load_Shape,MATCH($D119,Adjustments!$H$3:$H$14,0),1),"Data Missing")</f>
        <v>4.5384472421377344</v>
      </c>
      <c r="I119" s="15">
        <f t="shared" si="19"/>
        <v>4.172927288583173</v>
      </c>
      <c r="K119" s="63"/>
    </row>
    <row r="120" spans="2:11" x14ac:dyDescent="0.2">
      <c r="B120" s="3">
        <v>112</v>
      </c>
      <c r="C120" s="8">
        <f t="shared" si="15"/>
        <v>49400</v>
      </c>
      <c r="D120" s="19" t="str">
        <f t="shared" si="16"/>
        <v>Apr</v>
      </c>
      <c r="E120" s="9">
        <f t="shared" si="17"/>
        <v>2035</v>
      </c>
      <c r="F120" s="162">
        <f>Adjustments!U126</f>
        <v>3.169</v>
      </c>
      <c r="G120" s="22">
        <f t="shared" si="18"/>
        <v>2.7410582806796802</v>
      </c>
      <c r="H120" s="22">
        <f>IFERROR(IFERROR(INDEX(Gas_EIA2,1,MATCH(E120,$L$10:$AF$10,FALSE)),0)*INDEX(NG_Load_Shape,MATCH($D120,Adjustments!$H$3:$H$14,0),1),"Data Missing")</f>
        <v>3.7256839464996854</v>
      </c>
      <c r="I120" s="15">
        <f t="shared" si="19"/>
        <v>3.4443623276939697</v>
      </c>
      <c r="K120" s="63"/>
    </row>
    <row r="121" spans="2:11" x14ac:dyDescent="0.2">
      <c r="B121" s="3">
        <v>113</v>
      </c>
      <c r="C121" s="8">
        <f t="shared" si="15"/>
        <v>49430</v>
      </c>
      <c r="D121" s="19" t="str">
        <f t="shared" si="16"/>
        <v>May</v>
      </c>
      <c r="E121" s="9">
        <f t="shared" si="17"/>
        <v>2035</v>
      </c>
      <c r="F121" s="162">
        <f>Adjustments!U127</f>
        <v>3.1469999999999998</v>
      </c>
      <c r="G121" s="22">
        <f t="shared" ref="G121:G152" si="20">IFERROR((F121+INDEX(NG_Zone_Adjust,MONTH(C121),2)*(1+Inflation_Rate)^(E121-Start_Year-2)),"Data Missing")</f>
        <v>2.3834618797390075</v>
      </c>
      <c r="H121" s="22">
        <f>IFERROR(IFERROR(INDEX(Gas_EIA2,1,MATCH(E121,$L$10:$AF$10,FALSE)),0)*INDEX(NG_Load_Shape,MATCH($D121,Adjustments!$H$3:$H$14,0),1),"Data Missing")</f>
        <v>3.3012792121317629</v>
      </c>
      <c r="I121" s="15">
        <f t="shared" si="19"/>
        <v>3.0390456885909756</v>
      </c>
      <c r="K121" s="63"/>
    </row>
    <row r="122" spans="2:11" x14ac:dyDescent="0.2">
      <c r="B122" s="3">
        <v>114</v>
      </c>
      <c r="C122" s="8">
        <f t="shared" si="15"/>
        <v>49461</v>
      </c>
      <c r="D122" s="19" t="str">
        <f t="shared" si="16"/>
        <v>Jun</v>
      </c>
      <c r="E122" s="9">
        <f t="shared" si="17"/>
        <v>2035</v>
      </c>
      <c r="F122" s="162">
        <f>Adjustments!U128</f>
        <v>3.1819999999999999</v>
      </c>
      <c r="G122" s="22">
        <f t="shared" si="20"/>
        <v>2.279099280355088</v>
      </c>
      <c r="H122" s="22">
        <f>IFERROR(IFERROR(INDEX(Gas_EIA2,1,MATCH(E122,$L$10:$AF$10,FALSE)),0)*INDEX(NG_Load_Shape,MATCH($D122,Adjustments!$H$3:$H$14,0),1),"Data Missing")</f>
        <v>3.3298100612942192</v>
      </c>
      <c r="I122" s="15">
        <f t="shared" si="19"/>
        <v>3.0296069810258959</v>
      </c>
      <c r="K122" s="63"/>
    </row>
    <row r="123" spans="2:11" x14ac:dyDescent="0.2">
      <c r="B123" s="3">
        <v>115</v>
      </c>
      <c r="C123" s="8">
        <f t="shared" si="15"/>
        <v>49491</v>
      </c>
      <c r="D123" s="19" t="str">
        <f t="shared" si="16"/>
        <v>Jul</v>
      </c>
      <c r="E123" s="9">
        <f t="shared" si="17"/>
        <v>2035</v>
      </c>
      <c r="F123" s="162">
        <f>Adjustments!U129</f>
        <v>3.222</v>
      </c>
      <c r="G123" s="22">
        <f t="shared" si="20"/>
        <v>2.2608203751581759</v>
      </c>
      <c r="H123" s="22">
        <f>IFERROR(IFERROR(INDEX(Gas_EIA2,1,MATCH(E123,$L$10:$AF$10,FALSE)),0)*INDEX(NG_Load_Shape,MATCH($D123,Adjustments!$H$3:$H$14,0),1),"Data Missing")</f>
        <v>3.4817024021109488</v>
      </c>
      <c r="I123" s="15">
        <f t="shared" si="19"/>
        <v>3.1328789658387279</v>
      </c>
      <c r="K123" s="63"/>
    </row>
    <row r="124" spans="2:11" x14ac:dyDescent="0.2">
      <c r="B124" s="3">
        <v>116</v>
      </c>
      <c r="C124" s="8">
        <f t="shared" si="15"/>
        <v>49522</v>
      </c>
      <c r="D124" s="19" t="str">
        <f t="shared" si="16"/>
        <v>Aug</v>
      </c>
      <c r="E124" s="9">
        <f t="shared" si="17"/>
        <v>2035</v>
      </c>
      <c r="F124" s="162">
        <f>Adjustments!U130</f>
        <v>3.262</v>
      </c>
      <c r="G124" s="22">
        <f t="shared" si="20"/>
        <v>2.2729478552813918</v>
      </c>
      <c r="H124" s="22">
        <f>IFERROR(IFERROR(INDEX(Gas_EIA2,1,MATCH(E124,$L$10:$AF$10,FALSE)),0)*INDEX(NG_Load_Shape,MATCH($D124,Adjustments!$H$3:$H$14,0),1),"Data Missing")</f>
        <v>3.5359786550649033</v>
      </c>
      <c r="I124" s="15">
        <f t="shared" si="19"/>
        <v>3.1751127122696143</v>
      </c>
      <c r="K124" s="63"/>
    </row>
    <row r="125" spans="2:11" x14ac:dyDescent="0.2">
      <c r="B125" s="3">
        <v>117</v>
      </c>
      <c r="C125" s="8">
        <f t="shared" si="15"/>
        <v>49553</v>
      </c>
      <c r="D125" s="19" t="str">
        <f t="shared" si="16"/>
        <v>Sep</v>
      </c>
      <c r="E125" s="9">
        <f t="shared" si="17"/>
        <v>2035</v>
      </c>
      <c r="F125" s="162">
        <f>Adjustments!U131</f>
        <v>3.2770000000000001</v>
      </c>
      <c r="G125" s="22">
        <f t="shared" si="20"/>
        <v>1.8695785165248164</v>
      </c>
      <c r="H125" s="22">
        <f>IFERROR(IFERROR(INDEX(Gas_EIA2,1,MATCH(E125,$L$10:$AF$10,FALSE)),0)*INDEX(NG_Load_Shape,MATCH($D125,Adjustments!$H$3:$H$14,0),1),"Data Missing")</f>
        <v>3.0230818370393733</v>
      </c>
      <c r="I125" s="15">
        <f t="shared" si="19"/>
        <v>2.6935094597495</v>
      </c>
      <c r="K125" s="63"/>
    </row>
    <row r="126" spans="2:11" x14ac:dyDescent="0.2">
      <c r="B126" s="3">
        <v>118</v>
      </c>
      <c r="C126" s="8">
        <f t="shared" si="15"/>
        <v>49583</v>
      </c>
      <c r="D126" s="19" t="str">
        <f t="shared" si="16"/>
        <v>Oct</v>
      </c>
      <c r="E126" s="9">
        <f t="shared" si="17"/>
        <v>2035</v>
      </c>
      <c r="F126" s="162">
        <f>Adjustments!U132</f>
        <v>3.323</v>
      </c>
      <c r="G126" s="22">
        <f t="shared" si="20"/>
        <v>1.8882690778576638</v>
      </c>
      <c r="H126" s="22">
        <f>IFERROR(IFERROR(INDEX(Gas_EIA2,1,MATCH(E126,$L$10:$AF$10,FALSE)),0)*INDEX(NG_Load_Shape,MATCH($D126,Adjustments!$H$3:$H$14,0),1),"Data Missing")</f>
        <v>3.0799691394282465</v>
      </c>
      <c r="I126" s="15">
        <f t="shared" si="19"/>
        <v>2.7394834075509369</v>
      </c>
      <c r="K126" s="63"/>
    </row>
    <row r="127" spans="2:11" x14ac:dyDescent="0.2">
      <c r="B127" s="3">
        <v>119</v>
      </c>
      <c r="C127" s="8">
        <f t="shared" si="15"/>
        <v>49614</v>
      </c>
      <c r="D127" s="19" t="str">
        <f t="shared" si="16"/>
        <v>Nov</v>
      </c>
      <c r="E127" s="9">
        <f t="shared" si="17"/>
        <v>2035</v>
      </c>
      <c r="F127" s="162">
        <f>Adjustments!U133</f>
        <v>3.5230000000000001</v>
      </c>
      <c r="G127" s="22">
        <f t="shared" si="20"/>
        <v>2.6628934522871202</v>
      </c>
      <c r="H127" s="22">
        <f>IFERROR(IFERROR(INDEX(Gas_EIA2,1,MATCH(E127,$L$10:$AF$10,FALSE)),0)*INDEX(NG_Load_Shape,MATCH($D127,Adjustments!$H$3:$H$14,0),1),"Data Missing")</f>
        <v>4.0188402552460616</v>
      </c>
      <c r="I127" s="15">
        <f t="shared" si="19"/>
        <v>3.6314268829720784</v>
      </c>
      <c r="K127" s="63"/>
    </row>
    <row r="128" spans="2:11" x14ac:dyDescent="0.2">
      <c r="B128" s="3">
        <v>120</v>
      </c>
      <c r="C128" s="8">
        <f t="shared" si="15"/>
        <v>49644</v>
      </c>
      <c r="D128" s="19" t="str">
        <f t="shared" si="16"/>
        <v>Dec</v>
      </c>
      <c r="E128" s="9">
        <f t="shared" si="17"/>
        <v>2035</v>
      </c>
      <c r="F128" s="162">
        <f>Adjustments!U134</f>
        <v>3.823</v>
      </c>
      <c r="G128" s="22">
        <f t="shared" si="20"/>
        <v>4.6543894060216484</v>
      </c>
      <c r="H128" s="22">
        <f>IFERROR(IFERROR(INDEX(Gas_EIA2,1,MATCH(E128,$L$10:$AF$10,FALSE)),0)*INDEX(NG_Load_Shape,MATCH($D128,Adjustments!$H$3:$H$14,0),1),"Data Missing")</f>
        <v>6.5575365649996273</v>
      </c>
      <c r="I128" s="15">
        <f t="shared" si="19"/>
        <v>6.0137802338630619</v>
      </c>
      <c r="K128" s="63"/>
    </row>
    <row r="129" spans="2:11" x14ac:dyDescent="0.2">
      <c r="B129" s="3">
        <v>121</v>
      </c>
      <c r="C129" s="8">
        <f t="shared" si="15"/>
        <v>49675</v>
      </c>
      <c r="D129" s="19" t="str">
        <f t="shared" si="16"/>
        <v>Jan</v>
      </c>
      <c r="E129" s="9">
        <f t="shared" si="17"/>
        <v>2036</v>
      </c>
      <c r="F129" s="162">
        <f>Adjustments!U135</f>
        <v>4.093</v>
      </c>
      <c r="G129" s="22">
        <f t="shared" si="20"/>
        <v>7.0477067086108596</v>
      </c>
      <c r="H129" s="22">
        <f>IFERROR(IFERROR(INDEX(Gas_EIA2,1,MATCH(E129,$L$10:$AF$10,FALSE)),0)*INDEX(NG_Load_Shape,MATCH($D129,Adjustments!$H$3:$H$14,0),1),"Data Missing")</f>
        <v>9.588201981783822</v>
      </c>
      <c r="I129" s="15">
        <f t="shared" si="19"/>
        <v>9.2252740856162561</v>
      </c>
      <c r="K129" s="63"/>
    </row>
    <row r="130" spans="2:11" x14ac:dyDescent="0.2">
      <c r="B130" s="3">
        <v>122</v>
      </c>
      <c r="C130" s="8">
        <f t="shared" si="15"/>
        <v>49706</v>
      </c>
      <c r="D130" s="19" t="str">
        <f t="shared" si="16"/>
        <v>Feb</v>
      </c>
      <c r="E130" s="9">
        <f t="shared" si="17"/>
        <v>2036</v>
      </c>
      <c r="F130" s="162">
        <f>Adjustments!U136</f>
        <v>3.923</v>
      </c>
      <c r="G130" s="22">
        <f t="shared" si="20"/>
        <v>6.2726365331766019</v>
      </c>
      <c r="H130" s="22">
        <f>IFERROR(IFERROR(INDEX(Gas_EIA2,1,MATCH(E130,$L$10:$AF$10,FALSE)),0)*INDEX(NG_Load_Shape,MATCH($D130,Adjustments!$H$3:$H$14,0),1),"Data Missing")</f>
        <v>8.445842253995508</v>
      </c>
      <c r="I130" s="15">
        <f t="shared" si="19"/>
        <v>8.1353842938785217</v>
      </c>
      <c r="K130" s="63"/>
    </row>
    <row r="131" spans="2:11" x14ac:dyDescent="0.2">
      <c r="B131" s="3">
        <v>123</v>
      </c>
      <c r="C131" s="8">
        <f t="shared" si="15"/>
        <v>49735</v>
      </c>
      <c r="D131" s="19" t="str">
        <f t="shared" si="16"/>
        <v>Mar</v>
      </c>
      <c r="E131" s="9">
        <f t="shared" si="17"/>
        <v>2036</v>
      </c>
      <c r="F131" s="162">
        <f>Adjustments!U137</f>
        <v>3.653</v>
      </c>
      <c r="G131" s="22">
        <f t="shared" si="20"/>
        <v>3.4083299527907034</v>
      </c>
      <c r="H131" s="22">
        <f>IFERROR(IFERROR(INDEX(Gas_EIA2,1,MATCH(E131,$L$10:$AF$10,FALSE)),0)*INDEX(NG_Load_Shape,MATCH($D131,Adjustments!$H$3:$H$14,0),1),"Data Missing")</f>
        <v>4.6026961024754431</v>
      </c>
      <c r="I131" s="15">
        <f t="shared" si="19"/>
        <v>4.4320723668061941</v>
      </c>
      <c r="K131" s="63"/>
    </row>
    <row r="132" spans="2:11" x14ac:dyDescent="0.2">
      <c r="B132" s="3">
        <v>124</v>
      </c>
      <c r="C132" s="8">
        <f t="shared" si="15"/>
        <v>49766</v>
      </c>
      <c r="D132" s="19" t="str">
        <f t="shared" si="16"/>
        <v>Apr</v>
      </c>
      <c r="E132" s="9">
        <f t="shared" si="17"/>
        <v>2036</v>
      </c>
      <c r="F132" s="162">
        <f>Adjustments!U138</f>
        <v>3.323</v>
      </c>
      <c r="G132" s="22">
        <f t="shared" si="20"/>
        <v>2.8864994462932736</v>
      </c>
      <c r="H132" s="22">
        <f>IFERROR(IFERROR(INDEX(Gas_EIA2,1,MATCH(E132,$L$10:$AF$10,FALSE)),0)*INDEX(NG_Load_Shape,MATCH($D132,Adjustments!$H$3:$H$14,0),1),"Data Missing")</f>
        <v>3.7784268637949747</v>
      </c>
      <c r="I132" s="15">
        <f t="shared" si="19"/>
        <v>3.6510086612947319</v>
      </c>
      <c r="K132" s="63"/>
    </row>
    <row r="133" spans="2:11" x14ac:dyDescent="0.2">
      <c r="B133" s="3">
        <v>125</v>
      </c>
      <c r="C133" s="8">
        <f t="shared" si="15"/>
        <v>49796</v>
      </c>
      <c r="D133" s="19" t="str">
        <f t="shared" si="16"/>
        <v>May</v>
      </c>
      <c r="E133" s="9">
        <f t="shared" si="17"/>
        <v>2036</v>
      </c>
      <c r="F133" s="162">
        <f>Adjustments!U139</f>
        <v>3.3010000000000002</v>
      </c>
      <c r="G133" s="22">
        <f t="shared" si="20"/>
        <v>2.5221911173337883</v>
      </c>
      <c r="H133" s="22">
        <f>IFERROR(IFERROR(INDEX(Gas_EIA2,1,MATCH(E133,$L$10:$AF$10,FALSE)),0)*INDEX(NG_Load_Shape,MATCH($D133,Adjustments!$H$3:$H$14,0),1),"Data Missing")</f>
        <v>3.3480140127628548</v>
      </c>
      <c r="I133" s="15">
        <f t="shared" ref="I133:I139" si="21">IFERROR(G133+((H133-G133)*((E133-Start_Year-3)/7)),"Data Missing")</f>
        <v>3.2300393134158454</v>
      </c>
      <c r="K133" s="63"/>
    </row>
    <row r="134" spans="2:11" x14ac:dyDescent="0.2">
      <c r="B134" s="3">
        <v>126</v>
      </c>
      <c r="C134" s="8">
        <f t="shared" si="15"/>
        <v>49827</v>
      </c>
      <c r="D134" s="19" t="str">
        <f t="shared" si="16"/>
        <v>Jun</v>
      </c>
      <c r="E134" s="9">
        <f t="shared" si="17"/>
        <v>2036</v>
      </c>
      <c r="F134" s="162">
        <f>Adjustments!U140</f>
        <v>3.3359999999999999</v>
      </c>
      <c r="G134" s="22">
        <f t="shared" si="20"/>
        <v>2.4150412659621896</v>
      </c>
      <c r="H134" s="22">
        <f>IFERROR(IFERROR(INDEX(Gas_EIA2,1,MATCH(E134,$L$10:$AF$10,FALSE)),0)*INDEX(NG_Load_Shape,MATCH($D134,Adjustments!$H$3:$H$14,0),1),"Data Missing")</f>
        <v>3.3769487609783035</v>
      </c>
      <c r="I134" s="15">
        <f t="shared" si="21"/>
        <v>3.23953340454743</v>
      </c>
      <c r="K134" s="63"/>
    </row>
    <row r="135" spans="2:11" x14ac:dyDescent="0.2">
      <c r="B135" s="3">
        <v>127</v>
      </c>
      <c r="C135" s="8">
        <f t="shared" si="15"/>
        <v>49857</v>
      </c>
      <c r="D135" s="19" t="str">
        <f t="shared" si="16"/>
        <v>Jul</v>
      </c>
      <c r="E135" s="9">
        <f t="shared" si="17"/>
        <v>2036</v>
      </c>
      <c r="F135" s="162">
        <f>Adjustments!U141</f>
        <v>3.3759999999999999</v>
      </c>
      <c r="G135" s="22">
        <f t="shared" si="20"/>
        <v>2.3955967826613396</v>
      </c>
      <c r="H135" s="22">
        <f>IFERROR(IFERROR(INDEX(Gas_EIA2,1,MATCH(E135,$L$10:$AF$10,FALSE)),0)*INDEX(NG_Load_Shape,MATCH($D135,Adjustments!$H$3:$H$14,0),1),"Data Missing")</f>
        <v>3.5309913768276249</v>
      </c>
      <c r="I135" s="15">
        <f t="shared" si="21"/>
        <v>3.3687921490895842</v>
      </c>
      <c r="K135" s="63"/>
    </row>
    <row r="136" spans="2:11" x14ac:dyDescent="0.2">
      <c r="B136" s="3">
        <v>128</v>
      </c>
      <c r="C136" s="8">
        <f t="shared" si="15"/>
        <v>49888</v>
      </c>
      <c r="D136" s="19" t="str">
        <f t="shared" si="16"/>
        <v>Aug</v>
      </c>
      <c r="E136" s="9">
        <f t="shared" si="17"/>
        <v>2036</v>
      </c>
      <c r="F136" s="162">
        <f>Adjustments!U142</f>
        <v>3.4159999999999999</v>
      </c>
      <c r="G136" s="22">
        <f t="shared" si="20"/>
        <v>2.40716681238702</v>
      </c>
      <c r="H136" s="22">
        <f>IFERROR(IFERROR(INDEX(Gas_EIA2,1,MATCH(E136,$L$10:$AF$10,FALSE)),0)*INDEX(NG_Load_Shape,MATCH($D136,Adjustments!$H$3:$H$14,0),1),"Data Missing")</f>
        <v>3.5860359955264345</v>
      </c>
      <c r="I136" s="15">
        <f t="shared" si="21"/>
        <v>3.4176261122208036</v>
      </c>
      <c r="K136" s="63"/>
    </row>
    <row r="137" spans="2:11" x14ac:dyDescent="0.2">
      <c r="B137" s="3">
        <v>129</v>
      </c>
      <c r="C137" s="8">
        <f t="shared" ref="C137:C200" si="22">DATE(Start_Year-1,B137,1)</f>
        <v>49919</v>
      </c>
      <c r="D137" s="19" t="str">
        <f t="shared" ref="D137:D200" si="23">CHOOSE(MONTH(C137), "Jan", "Feb", "Mar", "Apr", "May", "Jun", "Jul", "Aug", "Sep", "Oct", "Nov", "Dec")</f>
        <v>Sep</v>
      </c>
      <c r="E137" s="9">
        <f t="shared" si="17"/>
        <v>2036</v>
      </c>
      <c r="F137" s="162">
        <f>Adjustments!U143</f>
        <v>3.431</v>
      </c>
      <c r="G137" s="22">
        <f t="shared" si="20"/>
        <v>1.995430086855313</v>
      </c>
      <c r="H137" s="22">
        <f>IFERROR(IFERROR(INDEX(Gas_EIA2,1,MATCH(E137,$L$10:$AF$10,FALSE)),0)*INDEX(NG_Load_Shape,MATCH($D137,Adjustments!$H$3:$H$14,0),1),"Data Missing")</f>
        <v>3.0658783161818568</v>
      </c>
      <c r="I137" s="15">
        <f t="shared" si="21"/>
        <v>2.9129571405637789</v>
      </c>
      <c r="K137" s="63"/>
    </row>
    <row r="138" spans="2:11" x14ac:dyDescent="0.2">
      <c r="B138" s="3">
        <v>130</v>
      </c>
      <c r="C138" s="8">
        <f t="shared" si="22"/>
        <v>49949</v>
      </c>
      <c r="D138" s="19" t="str">
        <f t="shared" si="23"/>
        <v>Oct</v>
      </c>
      <c r="E138" s="9">
        <f t="shared" ref="E138:E201" si="24">YEAR(C138)</f>
        <v>2036</v>
      </c>
      <c r="F138" s="162">
        <f>Adjustments!U144</f>
        <v>3.4769999999999999</v>
      </c>
      <c r="G138" s="22">
        <f t="shared" si="20"/>
        <v>2.0135744594148175</v>
      </c>
      <c r="H138" s="22">
        <f>IFERROR(IFERROR(INDEX(Gas_EIA2,1,MATCH(E138,$L$10:$AF$10,FALSE)),0)*INDEX(NG_Load_Shape,MATCH($D138,Adjustments!$H$3:$H$14,0),1),"Data Missing")</f>
        <v>3.1235709478278904</v>
      </c>
      <c r="I138" s="15">
        <f t="shared" si="21"/>
        <v>2.9650000209117371</v>
      </c>
      <c r="K138" s="63"/>
    </row>
    <row r="139" spans="2:11" x14ac:dyDescent="0.2">
      <c r="B139" s="3">
        <v>131</v>
      </c>
      <c r="C139" s="8">
        <f t="shared" si="22"/>
        <v>49980</v>
      </c>
      <c r="D139" s="19" t="str">
        <f t="shared" si="23"/>
        <v>Nov</v>
      </c>
      <c r="E139" s="9">
        <f t="shared" si="24"/>
        <v>2036</v>
      </c>
      <c r="F139" s="162">
        <f>Adjustments!U145</f>
        <v>3.5489999999999999</v>
      </c>
      <c r="G139" s="22">
        <f t="shared" si="20"/>
        <v>2.6716913213328621</v>
      </c>
      <c r="H139" s="22">
        <f>IFERROR(IFERROR(INDEX(Gas_EIA2,1,MATCH(E139,$L$10:$AF$10,FALSE)),0)*INDEX(NG_Load_Shape,MATCH($D139,Adjustments!$H$3:$H$14,0),1),"Data Missing")</f>
        <v>4.0757332612683692</v>
      </c>
      <c r="I139" s="15">
        <f t="shared" si="21"/>
        <v>3.8751558412775822</v>
      </c>
      <c r="K139" s="63"/>
    </row>
    <row r="140" spans="2:11" x14ac:dyDescent="0.2">
      <c r="B140" s="3">
        <v>132</v>
      </c>
      <c r="C140" s="8">
        <f t="shared" si="22"/>
        <v>50010</v>
      </c>
      <c r="D140" s="19" t="str">
        <f t="shared" si="23"/>
        <v>Dec</v>
      </c>
      <c r="E140" s="9">
        <f t="shared" si="24"/>
        <v>2036</v>
      </c>
      <c r="F140" s="162">
        <f>Adjustments!U146</f>
        <v>3.7040000000000002</v>
      </c>
      <c r="G140" s="22">
        <f t="shared" si="20"/>
        <v>4.5520171941420813</v>
      </c>
      <c r="H140" s="22">
        <f>IFERROR(IFERROR(INDEX(Gas_EIA2,1,MATCH(E140,$L$10:$AF$10,FALSE)),0)*INDEX(NG_Load_Shape,MATCH($D140,Adjustments!$H$3:$H$14,0),1),"Data Missing")</f>
        <v>6.6503688110181214</v>
      </c>
      <c r="I140" s="15">
        <f t="shared" ref="I140:I152" si="25">IFERROR(G140+((H140-G140)*((E140-Start_Year-3)/7)),"Data Missing")</f>
        <v>6.3506042943215437</v>
      </c>
      <c r="K140" s="63"/>
    </row>
    <row r="141" spans="2:11" x14ac:dyDescent="0.2">
      <c r="B141" s="3">
        <v>133</v>
      </c>
      <c r="C141" s="8">
        <f t="shared" si="22"/>
        <v>50041</v>
      </c>
      <c r="D141" s="19" t="str">
        <f t="shared" si="23"/>
        <v>Jan</v>
      </c>
      <c r="E141" s="9">
        <f t="shared" si="24"/>
        <v>2037</v>
      </c>
      <c r="F141" s="162">
        <f>Adjustments!U147</f>
        <v>3.9289999999999998</v>
      </c>
      <c r="G141" s="22">
        <f t="shared" si="20"/>
        <v>6.9428008427830772</v>
      </c>
      <c r="H141" s="22">
        <f>IFERROR(IFERROR(INDEX(Gas_EIA2,1,MATCH(E141,$L$10:$AF$10,FALSE)),0)*INDEX(NG_Load_Shape,MATCH($D141,Adjustments!$H$3:$H$14,0),1),"Data Missing")</f>
        <v>9.5290025789251818</v>
      </c>
      <c r="I141" s="15">
        <f t="shared" si="25"/>
        <v>9.5290025789251818</v>
      </c>
    </row>
    <row r="142" spans="2:11" x14ac:dyDescent="0.2">
      <c r="B142" s="3">
        <v>134</v>
      </c>
      <c r="C142" s="8">
        <f t="shared" si="22"/>
        <v>50072</v>
      </c>
      <c r="D142" s="19" t="str">
        <f t="shared" si="23"/>
        <v>Feb</v>
      </c>
      <c r="E142" s="9">
        <f t="shared" si="24"/>
        <v>2037</v>
      </c>
      <c r="F142" s="162">
        <f>Adjustments!U148</f>
        <v>3.7789999999999999</v>
      </c>
      <c r="G142" s="22">
        <f t="shared" si="20"/>
        <v>6.1756292638401336</v>
      </c>
      <c r="H142" s="22">
        <f>IFERROR(IFERROR(INDEX(Gas_EIA2,1,MATCH(E142,$L$10:$AF$10,FALSE)),0)*INDEX(NG_Load_Shape,MATCH($D142,Adjustments!$H$3:$H$14,0),1),"Data Missing")</f>
        <v>8.3936959997734224</v>
      </c>
      <c r="I142" s="15">
        <f t="shared" si="25"/>
        <v>8.3936959997734224</v>
      </c>
    </row>
    <row r="143" spans="2:11" x14ac:dyDescent="0.2">
      <c r="B143" s="3">
        <v>135</v>
      </c>
      <c r="C143" s="8">
        <f t="shared" si="22"/>
        <v>50100</v>
      </c>
      <c r="D143" s="19" t="str">
        <f t="shared" si="23"/>
        <v>Mar</v>
      </c>
      <c r="E143" s="9">
        <f t="shared" si="24"/>
        <v>2037</v>
      </c>
      <c r="F143" s="162">
        <f>Adjustments!U149</f>
        <v>3.5790000000000002</v>
      </c>
      <c r="G143" s="22">
        <f t="shared" si="20"/>
        <v>3.3294365518465177</v>
      </c>
      <c r="H143" s="22">
        <f>IFERROR(IFERROR(INDEX(Gas_EIA2,1,MATCH(E143,$L$10:$AF$10,FALSE)),0)*INDEX(NG_Load_Shape,MATCH($D143,Adjustments!$H$3:$H$14,0),1),"Data Missing")</f>
        <v>4.5742781716346039</v>
      </c>
      <c r="I143" s="15">
        <f t="shared" si="25"/>
        <v>4.5742781716346039</v>
      </c>
    </row>
    <row r="144" spans="2:11" x14ac:dyDescent="0.2">
      <c r="B144" s="3">
        <v>136</v>
      </c>
      <c r="C144" s="8">
        <f t="shared" si="22"/>
        <v>50131</v>
      </c>
      <c r="D144" s="19" t="str">
        <f t="shared" si="23"/>
        <v>Apr</v>
      </c>
      <c r="E144" s="9">
        <f t="shared" si="24"/>
        <v>2037</v>
      </c>
      <c r="F144" s="162">
        <f>Adjustments!U150</f>
        <v>3.2490000000000001</v>
      </c>
      <c r="G144" s="22">
        <f t="shared" si="20"/>
        <v>2.8037694352191393</v>
      </c>
      <c r="H144" s="22">
        <f>IFERROR(IFERROR(INDEX(Gas_EIA2,1,MATCH(E144,$L$10:$AF$10,FALSE)),0)*INDEX(NG_Load_Shape,MATCH($D144,Adjustments!$H$3:$H$14,0),1),"Data Missing")</f>
        <v>3.7550981297417425</v>
      </c>
      <c r="I144" s="15">
        <f t="shared" si="25"/>
        <v>3.7550981297417425</v>
      </c>
    </row>
    <row r="145" spans="2:9" x14ac:dyDescent="0.2">
      <c r="B145" s="3">
        <v>137</v>
      </c>
      <c r="C145" s="8">
        <f t="shared" si="22"/>
        <v>50161</v>
      </c>
      <c r="D145" s="19" t="str">
        <f t="shared" si="23"/>
        <v>May</v>
      </c>
      <c r="E145" s="9">
        <f t="shared" si="24"/>
        <v>2037</v>
      </c>
      <c r="F145" s="162">
        <f>Adjustments!U151</f>
        <v>3.2269999999999999</v>
      </c>
      <c r="G145" s="22">
        <f t="shared" si="20"/>
        <v>2.4326149396804637</v>
      </c>
      <c r="H145" s="22">
        <f>IFERROR(IFERROR(INDEX(Gas_EIA2,1,MATCH(E145,$L$10:$AF$10,FALSE)),0)*INDEX(NG_Load_Shape,MATCH($D145,Adjustments!$H$3:$H$14,0),1),"Data Missing")</f>
        <v>3.3273427304208192</v>
      </c>
      <c r="I145" s="15">
        <f t="shared" si="25"/>
        <v>3.3273427304208192</v>
      </c>
    </row>
    <row r="146" spans="2:9" x14ac:dyDescent="0.2">
      <c r="B146" s="3">
        <v>138</v>
      </c>
      <c r="C146" s="8">
        <f t="shared" si="22"/>
        <v>50192</v>
      </c>
      <c r="D146" s="19" t="str">
        <f t="shared" si="23"/>
        <v>Jun</v>
      </c>
      <c r="E146" s="9">
        <f t="shared" si="24"/>
        <v>2037</v>
      </c>
      <c r="F146" s="162">
        <f>Adjustments!U152</f>
        <v>3.262</v>
      </c>
      <c r="G146" s="22">
        <f t="shared" si="20"/>
        <v>2.3226220912814339</v>
      </c>
      <c r="H146" s="22">
        <f>IFERROR(IFERROR(INDEX(Gas_EIA2,1,MATCH(E146,$L$10:$AF$10,FALSE)),0)*INDEX(NG_Load_Shape,MATCH($D146,Adjustments!$H$3:$H$14,0),1),"Data Missing")</f>
        <v>3.3560988299365979</v>
      </c>
      <c r="I146" s="15">
        <f t="shared" si="25"/>
        <v>3.3560988299365979</v>
      </c>
    </row>
    <row r="147" spans="2:9" x14ac:dyDescent="0.2">
      <c r="B147" s="3">
        <v>139</v>
      </c>
      <c r="C147" s="8">
        <f t="shared" si="22"/>
        <v>50222</v>
      </c>
      <c r="D147" s="19" t="str">
        <f t="shared" si="23"/>
        <v>Jul</v>
      </c>
      <c r="E147" s="9">
        <f t="shared" si="24"/>
        <v>2037</v>
      </c>
      <c r="F147" s="162">
        <f>Adjustments!U153</f>
        <v>3.302</v>
      </c>
      <c r="G147" s="22">
        <f t="shared" si="20"/>
        <v>2.3019887183145666</v>
      </c>
      <c r="H147" s="22">
        <f>IFERROR(IFERROR(INDEX(Gas_EIA2,1,MATCH(E147,$L$10:$AF$10,FALSE)),0)*INDEX(NG_Load_Shape,MATCH($D147,Adjustments!$H$3:$H$14,0),1),"Data Missing")</f>
        <v>3.5091903570530798</v>
      </c>
      <c r="I147" s="15">
        <f t="shared" si="25"/>
        <v>3.5091903570530798</v>
      </c>
    </row>
    <row r="148" spans="2:9" x14ac:dyDescent="0.2">
      <c r="B148" s="3">
        <v>140</v>
      </c>
      <c r="C148" s="8">
        <f t="shared" si="22"/>
        <v>50253</v>
      </c>
      <c r="D148" s="19" t="str">
        <f t="shared" si="23"/>
        <v>Aug</v>
      </c>
      <c r="E148" s="9">
        <f t="shared" si="24"/>
        <v>2037</v>
      </c>
      <c r="F148" s="162">
        <f>Adjustments!U154</f>
        <v>3.3420000000000001</v>
      </c>
      <c r="G148" s="22">
        <f t="shared" si="20"/>
        <v>2.3129901486347606</v>
      </c>
      <c r="H148" s="22">
        <f>IFERROR(IFERROR(INDEX(Gas_EIA2,1,MATCH(E148,$L$10:$AF$10,FALSE)),0)*INDEX(NG_Load_Shape,MATCH($D148,Adjustments!$H$3:$H$14,0),1),"Data Missing")</f>
        <v>3.5638951196908946</v>
      </c>
      <c r="I148" s="15">
        <f t="shared" si="25"/>
        <v>3.5638951196908946</v>
      </c>
    </row>
    <row r="149" spans="2:9" x14ac:dyDescent="0.2">
      <c r="B149" s="3">
        <v>141</v>
      </c>
      <c r="C149" s="8">
        <f t="shared" si="22"/>
        <v>50284</v>
      </c>
      <c r="D149" s="19" t="str">
        <f t="shared" si="23"/>
        <v>Sep</v>
      </c>
      <c r="E149" s="9">
        <f t="shared" si="24"/>
        <v>2037</v>
      </c>
      <c r="F149" s="162">
        <f>Adjustments!U155</f>
        <v>3.3570000000000002</v>
      </c>
      <c r="G149" s="22">
        <f t="shared" si="20"/>
        <v>1.8927186885924192</v>
      </c>
      <c r="H149" s="22">
        <f>IFERROR(IFERROR(INDEX(Gas_EIA2,1,MATCH(E149,$L$10:$AF$10,FALSE)),0)*INDEX(NG_Load_Shape,MATCH($D149,Adjustments!$H$3:$H$14,0),1),"Data Missing")</f>
        <v>3.0469489938855556</v>
      </c>
      <c r="I149" s="15">
        <f t="shared" si="25"/>
        <v>3.0469489938855556</v>
      </c>
    </row>
    <row r="150" spans="2:9" x14ac:dyDescent="0.2">
      <c r="B150" s="3">
        <v>142</v>
      </c>
      <c r="C150" s="8">
        <f t="shared" si="22"/>
        <v>50314</v>
      </c>
      <c r="D150" s="19" t="str">
        <f t="shared" si="23"/>
        <v>Oct</v>
      </c>
      <c r="E150" s="9">
        <f t="shared" si="24"/>
        <v>2037</v>
      </c>
      <c r="F150" s="162">
        <f>Adjustments!U156</f>
        <v>3.403</v>
      </c>
      <c r="G150" s="22">
        <f t="shared" si="20"/>
        <v>1.9103059486031138</v>
      </c>
      <c r="H150" s="22">
        <f>IFERROR(IFERROR(INDEX(Gas_EIA2,1,MATCH(E150,$L$10:$AF$10,FALSE)),0)*INDEX(NG_Load_Shape,MATCH($D150,Adjustments!$H$3:$H$14,0),1),"Data Missing")</f>
        <v>3.1042854201294419</v>
      </c>
      <c r="I150" s="15">
        <f t="shared" si="25"/>
        <v>3.1042854201294419</v>
      </c>
    </row>
    <row r="151" spans="2:9" x14ac:dyDescent="0.2">
      <c r="B151" s="3">
        <v>143</v>
      </c>
      <c r="C151" s="8">
        <f t="shared" si="22"/>
        <v>50345</v>
      </c>
      <c r="D151" s="19" t="str">
        <f t="shared" si="23"/>
        <v>Nov</v>
      </c>
      <c r="E151" s="9">
        <f t="shared" si="24"/>
        <v>2037</v>
      </c>
      <c r="F151" s="162">
        <f>Adjustments!U157</f>
        <v>3.4750000000000001</v>
      </c>
      <c r="G151" s="22">
        <f t="shared" si="20"/>
        <v>2.5801451477595196</v>
      </c>
      <c r="H151" s="22">
        <f>IFERROR(IFERROR(INDEX(Gas_EIA2,1,MATCH(E151,$L$10:$AF$10,FALSE)),0)*INDEX(NG_Load_Shape,MATCH($D151,Adjustments!$H$3:$H$14,0),1),"Data Missing")</f>
        <v>4.0505689003447483</v>
      </c>
      <c r="I151" s="15">
        <f t="shared" si="25"/>
        <v>4.0505689003447483</v>
      </c>
    </row>
    <row r="152" spans="2:9" x14ac:dyDescent="0.2">
      <c r="B152" s="3">
        <v>144</v>
      </c>
      <c r="C152" s="8">
        <f t="shared" si="22"/>
        <v>50375</v>
      </c>
      <c r="D152" s="19" t="str">
        <f t="shared" si="23"/>
        <v>Dec</v>
      </c>
      <c r="E152" s="9">
        <f t="shared" si="24"/>
        <v>2037</v>
      </c>
      <c r="F152" s="162">
        <f>Adjustments!U158</f>
        <v>3.5150000000000001</v>
      </c>
      <c r="G152" s="22">
        <f t="shared" si="20"/>
        <v>4.3799775380249226</v>
      </c>
      <c r="H152" s="22">
        <f>IFERROR(IFERROR(INDEX(Gas_EIA2,1,MATCH(E152,$L$10:$AF$10,FALSE)),0)*INDEX(NG_Load_Shape,MATCH($D152,Adjustments!$H$3:$H$14,0),1),"Data Missing")</f>
        <v>6.6093081551047428</v>
      </c>
      <c r="I152" s="15">
        <f t="shared" si="25"/>
        <v>6.6093081551047428</v>
      </c>
    </row>
    <row r="153" spans="2:9" x14ac:dyDescent="0.2">
      <c r="B153" s="3">
        <v>145</v>
      </c>
      <c r="C153" s="8">
        <f t="shared" si="22"/>
        <v>50406</v>
      </c>
      <c r="D153" s="19" t="str">
        <f t="shared" si="23"/>
        <v>Jan</v>
      </c>
      <c r="E153" s="9">
        <f t="shared" si="24"/>
        <v>2038</v>
      </c>
      <c r="F153" s="61"/>
      <c r="G153" s="62"/>
      <c r="H153" s="22">
        <f>IFERROR(IFERROR(INDEX(Gas_EIA2,1,MATCH(E153,$L$10:$AF$10,FALSE)),0)*INDEX(NG_Load_Shape,MATCH($D153,Adjustments!$H$3:$H$14,0),1),"Data Missing")</f>
        <v>9.3292364154174567</v>
      </c>
      <c r="I153" s="17">
        <f>H153</f>
        <v>9.3292364154174567</v>
      </c>
    </row>
    <row r="154" spans="2:9" x14ac:dyDescent="0.2">
      <c r="B154" s="3">
        <v>146</v>
      </c>
      <c r="C154" s="8">
        <f t="shared" si="22"/>
        <v>50437</v>
      </c>
      <c r="D154" s="19" t="str">
        <f t="shared" si="23"/>
        <v>Feb</v>
      </c>
      <c r="E154" s="9">
        <f t="shared" si="24"/>
        <v>2038</v>
      </c>
      <c r="F154" s="61"/>
      <c r="H154" s="22">
        <f>IFERROR(IFERROR(INDEX(Gas_EIA2,1,MATCH(E154,$L$10:$AF$10,FALSE)),0)*INDEX(NG_Load_Shape,MATCH($D154,Adjustments!$H$3:$H$14,0),1),"Data Missing")</f>
        <v>8.2177304216725915</v>
      </c>
      <c r="I154" s="17">
        <f t="shared" ref="I154:I184" si="26">H154</f>
        <v>8.2177304216725915</v>
      </c>
    </row>
    <row r="155" spans="2:9" x14ac:dyDescent="0.2">
      <c r="B155" s="3">
        <v>147</v>
      </c>
      <c r="C155" s="8">
        <f t="shared" si="22"/>
        <v>50465</v>
      </c>
      <c r="D155" s="19" t="str">
        <f t="shared" si="23"/>
        <v>Mar</v>
      </c>
      <c r="E155" s="9">
        <f t="shared" si="24"/>
        <v>2038</v>
      </c>
      <c r="F155" s="61"/>
      <c r="H155" s="22">
        <f>IFERROR(IFERROR(INDEX(Gas_EIA2,1,MATCH(E155,$L$10:$AF$10,FALSE)),0)*INDEX(NG_Load_Shape,MATCH($D155,Adjustments!$H$3:$H$14,0),1),"Data Missing")</f>
        <v>4.4783829303860019</v>
      </c>
      <c r="I155" s="17">
        <f t="shared" si="26"/>
        <v>4.4783829303860019</v>
      </c>
    </row>
    <row r="156" spans="2:9" x14ac:dyDescent="0.2">
      <c r="B156" s="3">
        <v>148</v>
      </c>
      <c r="C156" s="8">
        <f t="shared" si="22"/>
        <v>50496</v>
      </c>
      <c r="D156" s="19" t="str">
        <f t="shared" si="23"/>
        <v>Apr</v>
      </c>
      <c r="E156" s="9">
        <f t="shared" si="24"/>
        <v>2038</v>
      </c>
      <c r="F156" s="61"/>
      <c r="H156" s="22">
        <f>IFERROR(IFERROR(INDEX(Gas_EIA2,1,MATCH(E156,$L$10:$AF$10,FALSE)),0)*INDEX(NG_Load_Shape,MATCH($D156,Adjustments!$H$3:$H$14,0),1),"Data Missing")</f>
        <v>3.6763761920824338</v>
      </c>
      <c r="I156" s="17">
        <f t="shared" si="26"/>
        <v>3.6763761920824338</v>
      </c>
    </row>
    <row r="157" spans="2:9" x14ac:dyDescent="0.2">
      <c r="B157" s="3">
        <v>149</v>
      </c>
      <c r="C157" s="8">
        <f t="shared" si="22"/>
        <v>50526</v>
      </c>
      <c r="D157" s="19" t="str">
        <f t="shared" si="23"/>
        <v>May</v>
      </c>
      <c r="E157" s="9">
        <f t="shared" si="24"/>
        <v>2038</v>
      </c>
      <c r="F157" s="61"/>
      <c r="H157" s="22">
        <f>IFERROR(IFERROR(INDEX(Gas_EIA2,1,MATCH(E157,$L$10:$AF$10,FALSE)),0)*INDEX(NG_Load_Shape,MATCH($D157,Adjustments!$H$3:$H$14,0),1),"Data Missing")</f>
        <v>3.2575882638409119</v>
      </c>
      <c r="I157" s="17">
        <f t="shared" si="26"/>
        <v>3.2575882638409119</v>
      </c>
    </row>
    <row r="158" spans="2:9" x14ac:dyDescent="0.2">
      <c r="B158" s="3">
        <v>150</v>
      </c>
      <c r="C158" s="8">
        <f t="shared" si="22"/>
        <v>50557</v>
      </c>
      <c r="D158" s="19" t="str">
        <f t="shared" si="23"/>
        <v>Jun</v>
      </c>
      <c r="E158" s="9">
        <f t="shared" si="24"/>
        <v>2038</v>
      </c>
      <c r="F158" s="60"/>
      <c r="H158" s="22">
        <f>IFERROR(IFERROR(INDEX(Gas_EIA2,1,MATCH(E158,$L$10:$AF$10,FALSE)),0)*INDEX(NG_Load_Shape,MATCH($D158,Adjustments!$H$3:$H$14,0),1),"Data Missing")</f>
        <v>3.2857415200233895</v>
      </c>
      <c r="I158" s="17">
        <f t="shared" si="26"/>
        <v>3.2857415200233895</v>
      </c>
    </row>
    <row r="159" spans="2:9" x14ac:dyDescent="0.2">
      <c r="B159" s="3">
        <v>151</v>
      </c>
      <c r="C159" s="8">
        <f t="shared" si="22"/>
        <v>50587</v>
      </c>
      <c r="D159" s="19" t="str">
        <f t="shared" si="23"/>
        <v>Jul</v>
      </c>
      <c r="E159" s="9">
        <f t="shared" si="24"/>
        <v>2038</v>
      </c>
      <c r="F159" s="60"/>
      <c r="H159" s="22">
        <f>IFERROR(IFERROR(INDEX(Gas_EIA2,1,MATCH(E159,$L$10:$AF$10,FALSE)),0)*INDEX(NG_Load_Shape,MATCH($D159,Adjustments!$H$3:$H$14,0),1),"Data Missing")</f>
        <v>3.4356236339002071</v>
      </c>
      <c r="I159" s="17">
        <f t="shared" si="26"/>
        <v>3.4356236339002071</v>
      </c>
    </row>
    <row r="160" spans="2:9" x14ac:dyDescent="0.2">
      <c r="B160" s="3">
        <v>152</v>
      </c>
      <c r="C160" s="8">
        <f t="shared" si="22"/>
        <v>50618</v>
      </c>
      <c r="D160" s="19" t="str">
        <f t="shared" si="23"/>
        <v>Aug</v>
      </c>
      <c r="E160" s="9">
        <f t="shared" si="24"/>
        <v>2038</v>
      </c>
      <c r="F160" s="60"/>
      <c r="H160" s="22">
        <f>IFERROR(IFERROR(INDEX(Gas_EIA2,1,MATCH(E160,$L$10:$AF$10,FALSE)),0)*INDEX(NG_Load_Shape,MATCH($D160,Adjustments!$H$3:$H$14,0),1),"Data Missing")</f>
        <v>3.4891815650131854</v>
      </c>
      <c r="I160" s="17">
        <f t="shared" si="26"/>
        <v>3.4891815650131854</v>
      </c>
    </row>
    <row r="161" spans="2:9" x14ac:dyDescent="0.2">
      <c r="B161" s="3">
        <v>153</v>
      </c>
      <c r="C161" s="8">
        <f t="shared" si="22"/>
        <v>50649</v>
      </c>
      <c r="D161" s="19" t="str">
        <f t="shared" si="23"/>
        <v>Sep</v>
      </c>
      <c r="E161" s="9">
        <f t="shared" si="24"/>
        <v>2038</v>
      </c>
      <c r="F161" s="60"/>
      <c r="H161" s="22">
        <f>IFERROR(IFERROR(INDEX(Gas_EIA2,1,MATCH(E161,$L$10:$AF$10,FALSE)),0)*INDEX(NG_Load_Shape,MATCH($D161,Adjustments!$H$3:$H$14,0),1),"Data Missing")</f>
        <v>2.9830727061134836</v>
      </c>
      <c r="I161" s="17">
        <f t="shared" si="26"/>
        <v>2.9830727061134836</v>
      </c>
    </row>
    <row r="162" spans="2:9" x14ac:dyDescent="0.2">
      <c r="B162" s="3">
        <v>154</v>
      </c>
      <c r="C162" s="8">
        <f t="shared" si="22"/>
        <v>50679</v>
      </c>
      <c r="D162" s="19" t="str">
        <f t="shared" si="23"/>
        <v>Oct</v>
      </c>
      <c r="E162" s="9">
        <f t="shared" si="24"/>
        <v>2038</v>
      </c>
      <c r="F162" s="60"/>
      <c r="H162" s="22">
        <f>IFERROR(IFERROR(INDEX(Gas_EIA2,1,MATCH(E162,$L$10:$AF$10,FALSE)),0)*INDEX(NG_Load_Shape,MATCH($D162,Adjustments!$H$3:$H$14,0),1),"Data Missing")</f>
        <v>3.0392071305943191</v>
      </c>
      <c r="I162" s="17">
        <f t="shared" si="26"/>
        <v>3.0392071305943191</v>
      </c>
    </row>
    <row r="163" spans="2:9" x14ac:dyDescent="0.2">
      <c r="B163" s="3">
        <v>155</v>
      </c>
      <c r="C163" s="8">
        <f t="shared" si="22"/>
        <v>50710</v>
      </c>
      <c r="D163" s="19" t="str">
        <f t="shared" si="23"/>
        <v>Nov</v>
      </c>
      <c r="E163" s="9">
        <f t="shared" si="24"/>
        <v>2038</v>
      </c>
      <c r="F163" s="60"/>
      <c r="H163" s="22">
        <f>IFERROR(IFERROR(INDEX(Gas_EIA2,1,MATCH(E163,$L$10:$AF$10,FALSE)),0)*INDEX(NG_Load_Shape,MATCH($D163,Adjustments!$H$3:$H$14,0),1),"Data Missing")</f>
        <v>3.9656527086926263</v>
      </c>
      <c r="I163" s="17">
        <f t="shared" si="26"/>
        <v>3.9656527086926263</v>
      </c>
    </row>
    <row r="164" spans="2:9" x14ac:dyDescent="0.2">
      <c r="B164" s="3">
        <v>156</v>
      </c>
      <c r="C164" s="8">
        <f t="shared" si="22"/>
        <v>50740</v>
      </c>
      <c r="D164" s="19" t="str">
        <f t="shared" si="23"/>
        <v>Dec</v>
      </c>
      <c r="E164" s="9">
        <f t="shared" si="24"/>
        <v>2038</v>
      </c>
      <c r="F164" s="60"/>
      <c r="H164" s="22">
        <f>IFERROR(IFERROR(INDEX(Gas_EIA2,1,MATCH(E164,$L$10:$AF$10,FALSE)),0)*INDEX(NG_Load_Shape,MATCH($D164,Adjustments!$H$3:$H$14,0),1),"Data Missing")</f>
        <v>6.4707505125130957</v>
      </c>
      <c r="I164" s="17">
        <f t="shared" si="26"/>
        <v>6.4707505125130957</v>
      </c>
    </row>
    <row r="165" spans="2:9" x14ac:dyDescent="0.2">
      <c r="B165" s="3">
        <v>157</v>
      </c>
      <c r="C165" s="8">
        <f t="shared" si="22"/>
        <v>50771</v>
      </c>
      <c r="D165" s="19" t="str">
        <f t="shared" si="23"/>
        <v>Jan</v>
      </c>
      <c r="E165" s="9">
        <f t="shared" si="24"/>
        <v>2039</v>
      </c>
      <c r="F165" s="60"/>
      <c r="H165" s="22">
        <f>IFERROR(IFERROR(INDEX(Gas_EIA2,1,MATCH(E165,$L$10:$AF$10,FALSE)),0)*INDEX(NG_Load_Shape,MATCH($D165,Adjustments!$H$3:$H$14,0),1),"Data Missing")</f>
        <v>9.1778395921513933</v>
      </c>
      <c r="I165" s="17">
        <f t="shared" si="26"/>
        <v>9.1778395921513933</v>
      </c>
    </row>
    <row r="166" spans="2:9" x14ac:dyDescent="0.2">
      <c r="B166" s="3">
        <v>158</v>
      </c>
      <c r="C166" s="8">
        <f t="shared" si="22"/>
        <v>50802</v>
      </c>
      <c r="D166" s="19" t="str">
        <f t="shared" si="23"/>
        <v>Feb</v>
      </c>
      <c r="E166" s="9">
        <f t="shared" si="24"/>
        <v>2039</v>
      </c>
      <c r="F166" s="60"/>
      <c r="H166" s="22">
        <f>IFERROR(IFERROR(INDEX(Gas_EIA2,1,MATCH(E166,$L$10:$AF$10,FALSE)),0)*INDEX(NG_Load_Shape,MATCH($D166,Adjustments!$H$3:$H$14,0),1),"Data Missing")</f>
        <v>8.0843713529451584</v>
      </c>
      <c r="I166" s="17">
        <f t="shared" si="26"/>
        <v>8.0843713529451584</v>
      </c>
    </row>
    <row r="167" spans="2:9" x14ac:dyDescent="0.2">
      <c r="B167" s="3">
        <v>159</v>
      </c>
      <c r="C167" s="8">
        <f t="shared" si="22"/>
        <v>50830</v>
      </c>
      <c r="D167" s="19" t="str">
        <f t="shared" si="23"/>
        <v>Mar</v>
      </c>
      <c r="E167" s="9">
        <f t="shared" si="24"/>
        <v>2039</v>
      </c>
      <c r="F167" s="60"/>
      <c r="H167" s="22">
        <f>IFERROR(IFERROR(INDEX(Gas_EIA2,1,MATCH(E167,$L$10:$AF$10,FALSE)),0)*INDEX(NG_Load_Shape,MATCH($D167,Adjustments!$H$3:$H$14,0),1),"Data Missing")</f>
        <v>4.405706784253729</v>
      </c>
      <c r="I167" s="17">
        <f t="shared" si="26"/>
        <v>4.405706784253729</v>
      </c>
    </row>
    <row r="168" spans="2:9" x14ac:dyDescent="0.2">
      <c r="B168" s="3">
        <v>160</v>
      </c>
      <c r="C168" s="8">
        <f t="shared" si="22"/>
        <v>50861</v>
      </c>
      <c r="D168" s="19" t="str">
        <f t="shared" si="23"/>
        <v>Apr</v>
      </c>
      <c r="E168" s="9">
        <f t="shared" si="24"/>
        <v>2039</v>
      </c>
      <c r="F168" s="60"/>
      <c r="H168" s="22">
        <f>IFERROR(IFERROR(INDEX(Gas_EIA2,1,MATCH(E168,$L$10:$AF$10,FALSE)),0)*INDEX(NG_Load_Shape,MATCH($D168,Adjustments!$H$3:$H$14,0),1),"Data Missing")</f>
        <v>3.6167151810598761</v>
      </c>
      <c r="I168" s="17">
        <f t="shared" si="26"/>
        <v>3.6167151810598761</v>
      </c>
    </row>
    <row r="169" spans="2:9" x14ac:dyDescent="0.2">
      <c r="B169" s="3">
        <v>161</v>
      </c>
      <c r="C169" s="8">
        <f t="shared" si="22"/>
        <v>50891</v>
      </c>
      <c r="D169" s="19" t="str">
        <f t="shared" si="23"/>
        <v>May</v>
      </c>
      <c r="E169" s="9">
        <f t="shared" si="24"/>
        <v>2039</v>
      </c>
      <c r="F169" s="60"/>
      <c r="H169" s="22">
        <f>IFERROR(IFERROR(INDEX(Gas_EIA2,1,MATCH(E169,$L$10:$AF$10,FALSE)),0)*INDEX(NG_Load_Shape,MATCH($D169,Adjustments!$H$3:$H$14,0),1),"Data Missing")</f>
        <v>3.2047234319625724</v>
      </c>
      <c r="I169" s="17">
        <f t="shared" si="26"/>
        <v>3.2047234319625724</v>
      </c>
    </row>
    <row r="170" spans="2:9" x14ac:dyDescent="0.2">
      <c r="B170" s="3">
        <v>162</v>
      </c>
      <c r="C170" s="8">
        <f t="shared" si="22"/>
        <v>50922</v>
      </c>
      <c r="D170" s="19" t="str">
        <f t="shared" si="23"/>
        <v>Jun</v>
      </c>
      <c r="E170" s="9">
        <f t="shared" si="24"/>
        <v>2039</v>
      </c>
      <c r="F170" s="60"/>
      <c r="H170" s="22">
        <f>IFERROR(IFERROR(INDEX(Gas_EIA2,1,MATCH(E170,$L$10:$AF$10,FALSE)),0)*INDEX(NG_Load_Shape,MATCH($D170,Adjustments!$H$3:$H$14,0),1),"Data Missing")</f>
        <v>3.2324198111445295</v>
      </c>
      <c r="I170" s="17">
        <f t="shared" si="26"/>
        <v>3.2324198111445295</v>
      </c>
    </row>
    <row r="171" spans="2:9" x14ac:dyDescent="0.2">
      <c r="B171" s="3">
        <v>163</v>
      </c>
      <c r="C171" s="8">
        <f t="shared" si="22"/>
        <v>50952</v>
      </c>
      <c r="D171" s="19" t="str">
        <f t="shared" si="23"/>
        <v>Jul</v>
      </c>
      <c r="E171" s="9">
        <f t="shared" si="24"/>
        <v>2039</v>
      </c>
      <c r="F171" s="60"/>
      <c r="H171" s="22">
        <f>IFERROR(IFERROR(INDEX(Gas_EIA2,1,MATCH(E171,$L$10:$AF$10,FALSE)),0)*INDEX(NG_Load_Shape,MATCH($D171,Adjustments!$H$3:$H$14,0),1),"Data Missing")</f>
        <v>3.3798696063518521</v>
      </c>
      <c r="I171" s="17">
        <f t="shared" si="26"/>
        <v>3.3798696063518521</v>
      </c>
    </row>
    <row r="172" spans="2:9" x14ac:dyDescent="0.2">
      <c r="B172" s="3">
        <v>164</v>
      </c>
      <c r="C172" s="8">
        <f t="shared" si="22"/>
        <v>50983</v>
      </c>
      <c r="D172" s="19" t="str">
        <f t="shared" si="23"/>
        <v>Aug</v>
      </c>
      <c r="E172" s="9">
        <f t="shared" si="24"/>
        <v>2039</v>
      </c>
      <c r="F172" s="60"/>
      <c r="H172" s="22">
        <f>IFERROR(IFERROR(INDEX(Gas_EIA2,1,MATCH(E172,$L$10:$AF$10,FALSE)),0)*INDEX(NG_Load_Shape,MATCH($D172,Adjustments!$H$3:$H$14,0),1),"Data Missing")</f>
        <v>3.4325583880221378</v>
      </c>
      <c r="I172" s="17">
        <f t="shared" si="26"/>
        <v>3.4325583880221378</v>
      </c>
    </row>
    <row r="173" spans="2:9" x14ac:dyDescent="0.2">
      <c r="B173" s="3">
        <v>165</v>
      </c>
      <c r="C173" s="8">
        <f t="shared" si="22"/>
        <v>51014</v>
      </c>
      <c r="D173" s="19" t="str">
        <f t="shared" si="23"/>
        <v>Sep</v>
      </c>
      <c r="E173" s="9">
        <f t="shared" si="24"/>
        <v>2039</v>
      </c>
      <c r="F173" s="60"/>
      <c r="H173" s="22">
        <f>IFERROR(IFERROR(INDEX(Gas_EIA2,1,MATCH(E173,$L$10:$AF$10,FALSE)),0)*INDEX(NG_Load_Shape,MATCH($D173,Adjustments!$H$3:$H$14,0),1),"Data Missing")</f>
        <v>2.9346627708125705</v>
      </c>
      <c r="I173" s="17">
        <f t="shared" si="26"/>
        <v>2.9346627708125705</v>
      </c>
    </row>
    <row r="174" spans="2:9" x14ac:dyDescent="0.2">
      <c r="B174" s="3">
        <v>166</v>
      </c>
      <c r="C174" s="8">
        <f t="shared" si="22"/>
        <v>51044</v>
      </c>
      <c r="D174" s="19" t="str">
        <f t="shared" si="23"/>
        <v>Oct</v>
      </c>
      <c r="E174" s="9">
        <f t="shared" si="24"/>
        <v>2039</v>
      </c>
      <c r="F174" s="60"/>
      <c r="H174" s="22">
        <f>IFERROR(IFERROR(INDEX(Gas_EIA2,1,MATCH(E174,$L$10:$AF$10,FALSE)),0)*INDEX(NG_Load_Shape,MATCH($D174,Adjustments!$H$3:$H$14,0),1),"Data Missing")</f>
        <v>2.989886233970974</v>
      </c>
      <c r="I174" s="17">
        <f t="shared" si="26"/>
        <v>2.989886233970974</v>
      </c>
    </row>
    <row r="175" spans="2:9" x14ac:dyDescent="0.2">
      <c r="B175" s="3">
        <v>167</v>
      </c>
      <c r="C175" s="8">
        <f t="shared" si="22"/>
        <v>51075</v>
      </c>
      <c r="D175" s="19" t="str">
        <f t="shared" si="23"/>
        <v>Nov</v>
      </c>
      <c r="E175" s="9">
        <f t="shared" si="24"/>
        <v>2039</v>
      </c>
      <c r="F175" s="60"/>
      <c r="H175" s="22">
        <f>IFERROR(IFERROR(INDEX(Gas_EIA2,1,MATCH(E175,$L$10:$AF$10,FALSE)),0)*INDEX(NG_Load_Shape,MATCH($D175,Adjustments!$H$3:$H$14,0),1),"Data Missing")</f>
        <v>3.9012972571274447</v>
      </c>
      <c r="I175" s="17">
        <f t="shared" si="26"/>
        <v>3.9012972571274447</v>
      </c>
    </row>
    <row r="176" spans="2:9" x14ac:dyDescent="0.2">
      <c r="B176" s="3">
        <v>168</v>
      </c>
      <c r="C176" s="8">
        <f t="shared" si="22"/>
        <v>51105</v>
      </c>
      <c r="D176" s="19" t="str">
        <f t="shared" si="23"/>
        <v>Dec</v>
      </c>
      <c r="E176" s="9">
        <f t="shared" si="24"/>
        <v>2039</v>
      </c>
      <c r="F176" s="60"/>
      <c r="H176" s="22">
        <f>IFERROR(IFERROR(INDEX(Gas_EIA2,1,MATCH(E176,$L$10:$AF$10,FALSE)),0)*INDEX(NG_Load_Shape,MATCH($D176,Adjustments!$H$3:$H$14,0),1),"Data Missing")</f>
        <v>6.3657418035342168</v>
      </c>
      <c r="I176" s="17">
        <f t="shared" si="26"/>
        <v>6.3657418035342168</v>
      </c>
    </row>
    <row r="177" spans="2:9" x14ac:dyDescent="0.2">
      <c r="B177" s="3">
        <v>169</v>
      </c>
      <c r="C177" s="8">
        <f t="shared" si="22"/>
        <v>51136</v>
      </c>
      <c r="D177" s="19" t="str">
        <f t="shared" si="23"/>
        <v>Jan</v>
      </c>
      <c r="E177" s="9">
        <f t="shared" si="24"/>
        <v>2040</v>
      </c>
      <c r="F177" s="60"/>
      <c r="H177" s="22">
        <f>IFERROR(IFERROR(INDEX(Gas_EIA2,1,MATCH(E177,$L$10:$AF$10,FALSE)),0)*INDEX(NG_Load_Shape,MATCH($D177,Adjustments!$H$3:$H$14,0),1),"Data Missing")</f>
        <v>9.2423340772627967</v>
      </c>
      <c r="I177" s="17">
        <f t="shared" si="26"/>
        <v>9.2423340772627967</v>
      </c>
    </row>
    <row r="178" spans="2:9" x14ac:dyDescent="0.2">
      <c r="B178" s="3">
        <v>170</v>
      </c>
      <c r="C178" s="8">
        <f t="shared" si="22"/>
        <v>51167</v>
      </c>
      <c r="D178" s="19" t="str">
        <f t="shared" si="23"/>
        <v>Feb</v>
      </c>
      <c r="E178" s="9">
        <f t="shared" si="24"/>
        <v>2040</v>
      </c>
      <c r="F178" s="60"/>
      <c r="H178" s="22">
        <f>IFERROR(IFERROR(INDEX(Gas_EIA2,1,MATCH(E178,$L$10:$AF$10,FALSE)),0)*INDEX(NG_Load_Shape,MATCH($D178,Adjustments!$H$3:$H$14,0),1),"Data Missing")</f>
        <v>8.1411818215333724</v>
      </c>
      <c r="I178" s="17">
        <f t="shared" si="26"/>
        <v>8.1411818215333724</v>
      </c>
    </row>
    <row r="179" spans="2:9" x14ac:dyDescent="0.2">
      <c r="B179" s="3">
        <v>171</v>
      </c>
      <c r="C179" s="8">
        <f t="shared" si="22"/>
        <v>51196</v>
      </c>
      <c r="D179" s="19" t="str">
        <f t="shared" si="23"/>
        <v>Mar</v>
      </c>
      <c r="E179" s="9">
        <f t="shared" si="24"/>
        <v>2040</v>
      </c>
      <c r="F179" s="60"/>
      <c r="H179" s="22">
        <f>IFERROR(IFERROR(INDEX(Gas_EIA2,1,MATCH(E179,$L$10:$AF$10,FALSE)),0)*INDEX(NG_Load_Shape,MATCH($D179,Adjustments!$H$3:$H$14,0),1),"Data Missing")</f>
        <v>4.4366665529170701</v>
      </c>
      <c r="I179" s="17">
        <f t="shared" si="26"/>
        <v>4.4366665529170701</v>
      </c>
    </row>
    <row r="180" spans="2:9" x14ac:dyDescent="0.2">
      <c r="B180" s="3">
        <v>172</v>
      </c>
      <c r="C180" s="8">
        <f t="shared" si="22"/>
        <v>51227</v>
      </c>
      <c r="D180" s="19" t="str">
        <f t="shared" si="23"/>
        <v>Apr</v>
      </c>
      <c r="E180" s="9">
        <f t="shared" si="24"/>
        <v>2040</v>
      </c>
      <c r="F180" s="60"/>
      <c r="H180" s="22">
        <f>IFERROR(IFERROR(INDEX(Gas_EIA2,1,MATCH(E180,$L$10:$AF$10,FALSE)),0)*INDEX(NG_Load_Shape,MATCH($D180,Adjustments!$H$3:$H$14,0),1),"Data Missing")</f>
        <v>3.6421305504455566</v>
      </c>
      <c r="I180" s="17">
        <f t="shared" si="26"/>
        <v>3.6421305504455566</v>
      </c>
    </row>
    <row r="181" spans="2:9" x14ac:dyDescent="0.2">
      <c r="B181" s="3">
        <v>173</v>
      </c>
      <c r="C181" s="8">
        <f t="shared" si="22"/>
        <v>51257</v>
      </c>
      <c r="D181" s="19" t="str">
        <f t="shared" si="23"/>
        <v>May</v>
      </c>
      <c r="E181" s="9">
        <f t="shared" si="24"/>
        <v>2040</v>
      </c>
      <c r="F181" s="60"/>
      <c r="H181" s="22">
        <f>IFERROR(IFERROR(INDEX(Gas_EIA2,1,MATCH(E181,$L$10:$AF$10,FALSE)),0)*INDEX(NG_Load_Shape,MATCH($D181,Adjustments!$H$3:$H$14,0),1),"Data Missing")</f>
        <v>3.2272436542429475</v>
      </c>
      <c r="I181" s="17">
        <f t="shared" si="26"/>
        <v>3.2272436542429475</v>
      </c>
    </row>
    <row r="182" spans="2:9" x14ac:dyDescent="0.2">
      <c r="B182" s="3">
        <v>174</v>
      </c>
      <c r="C182" s="8">
        <f t="shared" si="22"/>
        <v>51288</v>
      </c>
      <c r="D182" s="19" t="str">
        <f t="shared" si="23"/>
        <v>Jun</v>
      </c>
      <c r="E182" s="9">
        <f t="shared" si="24"/>
        <v>2040</v>
      </c>
      <c r="F182" s="60"/>
      <c r="H182" s="22">
        <f>IFERROR(IFERROR(INDEX(Gas_EIA2,1,MATCH(E182,$L$10:$AF$10,FALSE)),0)*INDEX(NG_Load_Shape,MATCH($D182,Adjustments!$H$3:$H$14,0),1),"Data Missing")</f>
        <v>3.2551346613323608</v>
      </c>
      <c r="I182" s="17">
        <f t="shared" si="26"/>
        <v>3.2551346613323608</v>
      </c>
    </row>
    <row r="183" spans="2:9" x14ac:dyDescent="0.2">
      <c r="B183" s="3">
        <v>175</v>
      </c>
      <c r="C183" s="8">
        <f t="shared" si="22"/>
        <v>51318</v>
      </c>
      <c r="D183" s="19" t="str">
        <f t="shared" si="23"/>
        <v>Jul</v>
      </c>
      <c r="E183" s="9">
        <f t="shared" si="24"/>
        <v>2040</v>
      </c>
      <c r="F183" s="60"/>
      <c r="H183" s="22">
        <f>IFERROR(IFERROR(INDEX(Gas_EIA2,1,MATCH(E183,$L$10:$AF$10,FALSE)),0)*INDEX(NG_Load_Shape,MATCH($D183,Adjustments!$H$3:$H$14,0),1),"Data Missing")</f>
        <v>3.4036206152703077</v>
      </c>
      <c r="I183" s="17">
        <f t="shared" si="26"/>
        <v>3.4036206152703077</v>
      </c>
    </row>
    <row r="184" spans="2:9" x14ac:dyDescent="0.2">
      <c r="B184" s="3">
        <v>176</v>
      </c>
      <c r="C184" s="8">
        <f t="shared" si="22"/>
        <v>51349</v>
      </c>
      <c r="D184" s="19" t="str">
        <f t="shared" si="23"/>
        <v>Aug</v>
      </c>
      <c r="E184" s="9">
        <f t="shared" si="24"/>
        <v>2040</v>
      </c>
      <c r="F184" s="60"/>
      <c r="H184" s="22">
        <f>IFERROR(IFERROR(INDEX(Gas_EIA2,1,MATCH(E184,$L$10:$AF$10,FALSE)),0)*INDEX(NG_Load_Shape,MATCH($D184,Adjustments!$H$3:$H$14,0),1),"Data Missing")</f>
        <v>3.4566796513791087</v>
      </c>
      <c r="I184" s="17">
        <f t="shared" si="26"/>
        <v>3.4566796513791087</v>
      </c>
    </row>
    <row r="185" spans="2:9" x14ac:dyDescent="0.2">
      <c r="B185" s="3">
        <v>177</v>
      </c>
      <c r="C185" s="8">
        <f t="shared" si="22"/>
        <v>51380</v>
      </c>
      <c r="D185" s="19" t="str">
        <f t="shared" si="23"/>
        <v>Sep</v>
      </c>
      <c r="E185" s="9">
        <f t="shared" si="24"/>
        <v>2040</v>
      </c>
      <c r="F185" s="60"/>
      <c r="H185" s="22">
        <f>IFERROR(IFERROR(INDEX(Gas_EIA2,1,MATCH(E185,$L$10:$AF$10,FALSE)),0)*INDEX(NG_Load_Shape,MATCH($D185,Adjustments!$H$3:$H$14,0),1),"Data Missing")</f>
        <v>2.9552852236762073</v>
      </c>
      <c r="I185" s="17">
        <f t="shared" ref="I185:I216" si="27">H185</f>
        <v>2.9552852236762073</v>
      </c>
    </row>
    <row r="186" spans="2:9" x14ac:dyDescent="0.2">
      <c r="B186" s="3">
        <v>178</v>
      </c>
      <c r="C186" s="8">
        <f t="shared" si="22"/>
        <v>51410</v>
      </c>
      <c r="D186" s="19" t="str">
        <f t="shared" si="23"/>
        <v>Oct</v>
      </c>
      <c r="E186" s="9">
        <f t="shared" si="24"/>
        <v>2040</v>
      </c>
      <c r="F186" s="60"/>
      <c r="H186" s="22">
        <f>IFERROR(IFERROR(INDEX(Gas_EIA2,1,MATCH(E186,$L$10:$AF$10,FALSE)),0)*INDEX(NG_Load_Shape,MATCH($D186,Adjustments!$H$3:$H$14,0),1),"Data Missing")</f>
        <v>3.0108967529787956</v>
      </c>
      <c r="I186" s="17">
        <f t="shared" si="27"/>
        <v>3.0108967529787956</v>
      </c>
    </row>
    <row r="187" spans="2:9" x14ac:dyDescent="0.2">
      <c r="B187" s="3">
        <v>179</v>
      </c>
      <c r="C187" s="8">
        <f t="shared" si="22"/>
        <v>51441</v>
      </c>
      <c r="D187" s="19" t="str">
        <f t="shared" si="23"/>
        <v>Nov</v>
      </c>
      <c r="E187" s="9">
        <f t="shared" si="24"/>
        <v>2040</v>
      </c>
      <c r="F187" s="60"/>
      <c r="H187" s="22">
        <f>IFERROR(IFERROR(INDEX(Gas_EIA2,1,MATCH(E187,$L$10:$AF$10,FALSE)),0)*INDEX(NG_Load_Shape,MATCH($D187,Adjustments!$H$3:$H$14,0),1),"Data Missing")</f>
        <v>3.9287124407704601</v>
      </c>
      <c r="I187" s="17">
        <f t="shared" si="27"/>
        <v>3.9287124407704601</v>
      </c>
    </row>
    <row r="188" spans="2:9" x14ac:dyDescent="0.2">
      <c r="B188" s="3">
        <v>180</v>
      </c>
      <c r="C188" s="8">
        <f t="shared" si="22"/>
        <v>51471</v>
      </c>
      <c r="D188" s="19" t="str">
        <f t="shared" si="23"/>
        <v>Dec</v>
      </c>
      <c r="E188" s="9">
        <f t="shared" si="24"/>
        <v>2040</v>
      </c>
      <c r="F188" s="60"/>
      <c r="H188" s="22">
        <f>IFERROR(IFERROR(INDEX(Gas_EIA2,1,MATCH(E188,$L$10:$AF$10,FALSE)),0)*INDEX(NG_Load_Shape,MATCH($D188,Adjustments!$H$3:$H$14,0),1),"Data Missing")</f>
        <v>6.4104751240339741</v>
      </c>
      <c r="I188" s="17">
        <f t="shared" si="27"/>
        <v>6.4104751240339741</v>
      </c>
    </row>
    <row r="189" spans="2:9" x14ac:dyDescent="0.2">
      <c r="B189" s="3">
        <v>181</v>
      </c>
      <c r="C189" s="8">
        <f t="shared" si="22"/>
        <v>51502</v>
      </c>
      <c r="D189" s="19" t="str">
        <f t="shared" si="23"/>
        <v>Jan</v>
      </c>
      <c r="E189" s="9">
        <f t="shared" si="24"/>
        <v>2041</v>
      </c>
      <c r="F189" s="60"/>
      <c r="H189" s="22">
        <f>IFERROR(IFERROR(INDEX(Gas_EIA2,1,MATCH(E189,$L$10:$AF$10,FALSE)),0)*INDEX(NG_Load_Shape,MATCH($D189,Adjustments!$H$3:$H$14,0),1),"Data Missing")</f>
        <v>9.5354165960172459</v>
      </c>
      <c r="I189" s="17">
        <f t="shared" si="27"/>
        <v>9.5354165960172459</v>
      </c>
    </row>
    <row r="190" spans="2:9" x14ac:dyDescent="0.2">
      <c r="B190" s="3">
        <v>182</v>
      </c>
      <c r="C190" s="8">
        <f t="shared" si="22"/>
        <v>51533</v>
      </c>
      <c r="D190" s="19" t="str">
        <f t="shared" si="23"/>
        <v>Feb</v>
      </c>
      <c r="E190" s="9">
        <f t="shared" si="24"/>
        <v>2041</v>
      </c>
      <c r="F190" s="60"/>
      <c r="H190" s="22">
        <f>IFERROR(IFERROR(INDEX(Gas_EIA2,1,MATCH(E190,$L$10:$AF$10,FALSE)),0)*INDEX(NG_Load_Shape,MATCH($D190,Adjustments!$H$3:$H$14,0),1),"Data Missing")</f>
        <v>8.3993458365913067</v>
      </c>
      <c r="I190" s="17">
        <f t="shared" si="27"/>
        <v>8.3993458365913067</v>
      </c>
    </row>
    <row r="191" spans="2:9" x14ac:dyDescent="0.2">
      <c r="B191" s="3">
        <v>183</v>
      </c>
      <c r="C191" s="8">
        <f t="shared" si="22"/>
        <v>51561</v>
      </c>
      <c r="D191" s="19" t="str">
        <f t="shared" si="23"/>
        <v>Mar</v>
      </c>
      <c r="E191" s="9">
        <f t="shared" si="24"/>
        <v>2041</v>
      </c>
      <c r="F191" s="60"/>
      <c r="H191" s="22">
        <f>IFERROR(IFERROR(INDEX(Gas_EIA2,1,MATCH(E191,$L$10:$AF$10,FALSE)),0)*INDEX(NG_Load_Shape,MATCH($D191,Adjustments!$H$3:$H$14,0),1),"Data Missing")</f>
        <v>4.5773571400926043</v>
      </c>
      <c r="I191" s="17">
        <f t="shared" si="27"/>
        <v>4.5773571400926043</v>
      </c>
    </row>
    <row r="192" spans="2:9" x14ac:dyDescent="0.2">
      <c r="B192" s="3">
        <v>184</v>
      </c>
      <c r="C192" s="8">
        <f t="shared" si="22"/>
        <v>51592</v>
      </c>
      <c r="D192" s="19" t="str">
        <f t="shared" si="23"/>
        <v>Apr</v>
      </c>
      <c r="E192" s="9">
        <f t="shared" si="24"/>
        <v>2041</v>
      </c>
      <c r="F192" s="60"/>
      <c r="H192" s="22">
        <f>IFERROR(IFERROR(INDEX(Gas_EIA2,1,MATCH(E192,$L$10:$AF$10,FALSE)),0)*INDEX(NG_Load_Shape,MATCH($D192,Adjustments!$H$3:$H$14,0),1),"Data Missing")</f>
        <v>3.7576257042058119</v>
      </c>
      <c r="I192" s="17">
        <f t="shared" si="27"/>
        <v>3.7576257042058119</v>
      </c>
    </row>
    <row r="193" spans="2:9" x14ac:dyDescent="0.2">
      <c r="B193" s="3">
        <v>185</v>
      </c>
      <c r="C193" s="8">
        <f t="shared" si="22"/>
        <v>51622</v>
      </c>
      <c r="D193" s="19" t="str">
        <f t="shared" si="23"/>
        <v>May</v>
      </c>
      <c r="E193" s="9">
        <f t="shared" si="24"/>
        <v>2041</v>
      </c>
      <c r="F193" s="60"/>
      <c r="H193" s="22">
        <f>IFERROR(IFERROR(INDEX(Gas_EIA2,1,MATCH(E193,$L$10:$AF$10,FALSE)),0)*INDEX(NG_Load_Shape,MATCH($D193,Adjustments!$H$3:$H$14,0),1),"Data Missing")</f>
        <v>3.3295823806850846</v>
      </c>
      <c r="I193" s="17">
        <f t="shared" si="27"/>
        <v>3.3295823806850846</v>
      </c>
    </row>
    <row r="194" spans="2:9" x14ac:dyDescent="0.2">
      <c r="B194" s="3">
        <v>186</v>
      </c>
      <c r="C194" s="8">
        <f t="shared" si="22"/>
        <v>51653</v>
      </c>
      <c r="D194" s="19" t="str">
        <f t="shared" si="23"/>
        <v>Jun</v>
      </c>
      <c r="E194" s="9">
        <f t="shared" si="24"/>
        <v>2041</v>
      </c>
      <c r="F194" s="60"/>
      <c r="H194" s="22">
        <f>IFERROR(IFERROR(INDEX(Gas_EIA2,1,MATCH(E194,$L$10:$AF$10,FALSE)),0)*INDEX(NG_Load_Shape,MATCH($D194,Adjustments!$H$3:$H$14,0),1),"Data Missing")</f>
        <v>3.3583578360686226</v>
      </c>
      <c r="I194" s="17">
        <f t="shared" si="27"/>
        <v>3.3583578360686226</v>
      </c>
    </row>
    <row r="195" spans="2:9" x14ac:dyDescent="0.2">
      <c r="B195" s="3">
        <v>187</v>
      </c>
      <c r="C195" s="8">
        <f t="shared" si="22"/>
        <v>51683</v>
      </c>
      <c r="D195" s="19" t="str">
        <f t="shared" si="23"/>
        <v>Jul</v>
      </c>
      <c r="E195" s="9">
        <f t="shared" si="24"/>
        <v>2041</v>
      </c>
      <c r="F195" s="60"/>
      <c r="H195" s="22">
        <f>IFERROR(IFERROR(INDEX(Gas_EIA2,1,MATCH(E195,$L$10:$AF$10,FALSE)),0)*INDEX(NG_Load_Shape,MATCH($D195,Adjustments!$H$3:$H$14,0),1),"Data Missing")</f>
        <v>3.5115524098222983</v>
      </c>
      <c r="I195" s="17">
        <f t="shared" si="27"/>
        <v>3.5115524098222983</v>
      </c>
    </row>
    <row r="196" spans="2:9" x14ac:dyDescent="0.2">
      <c r="B196" s="3">
        <v>188</v>
      </c>
      <c r="C196" s="8">
        <f t="shared" si="22"/>
        <v>51714</v>
      </c>
      <c r="D196" s="19" t="str">
        <f t="shared" si="23"/>
        <v>Aug</v>
      </c>
      <c r="E196" s="9">
        <f t="shared" si="24"/>
        <v>2041</v>
      </c>
      <c r="F196" s="60"/>
      <c r="H196" s="22">
        <f>IFERROR(IFERROR(INDEX(Gas_EIA2,1,MATCH(E196,$L$10:$AF$10,FALSE)),0)*INDEX(NG_Load_Shape,MATCH($D196,Adjustments!$H$3:$H$14,0),1),"Data Missing")</f>
        <v>3.5662939944968031</v>
      </c>
      <c r="I196" s="17">
        <f t="shared" si="27"/>
        <v>3.5662939944968031</v>
      </c>
    </row>
    <row r="197" spans="2:9" x14ac:dyDescent="0.2">
      <c r="B197" s="3">
        <v>189</v>
      </c>
      <c r="C197" s="8">
        <f t="shared" si="22"/>
        <v>51745</v>
      </c>
      <c r="D197" s="19" t="str">
        <f t="shared" si="23"/>
        <v>Sep</v>
      </c>
      <c r="E197" s="9">
        <f t="shared" si="24"/>
        <v>2041</v>
      </c>
      <c r="F197" s="60"/>
      <c r="H197" s="22">
        <f>IFERROR(IFERROR(INDEX(Gas_EIA2,1,MATCH(E197,$L$10:$AF$10,FALSE)),0)*INDEX(NG_Load_Shape,MATCH($D197,Adjustments!$H$3:$H$14,0),1),"Data Missing")</f>
        <v>3.048999909788197</v>
      </c>
      <c r="I197" s="17">
        <f t="shared" si="27"/>
        <v>3.048999909788197</v>
      </c>
    </row>
    <row r="198" spans="2:9" x14ac:dyDescent="0.2">
      <c r="B198" s="3">
        <v>190</v>
      </c>
      <c r="C198" s="8">
        <f t="shared" si="22"/>
        <v>51775</v>
      </c>
      <c r="D198" s="19" t="str">
        <f t="shared" si="23"/>
        <v>Oct</v>
      </c>
      <c r="E198" s="9">
        <f t="shared" si="24"/>
        <v>2041</v>
      </c>
      <c r="F198" s="60"/>
      <c r="H198" s="22">
        <f>IFERROR(IFERROR(INDEX(Gas_EIA2,1,MATCH(E198,$L$10:$AF$10,FALSE)),0)*INDEX(NG_Load_Shape,MATCH($D198,Adjustments!$H$3:$H$14,0),1),"Data Missing")</f>
        <v>3.1063749294541001</v>
      </c>
      <c r="I198" s="17">
        <f t="shared" si="27"/>
        <v>3.1063749294541001</v>
      </c>
    </row>
    <row r="199" spans="2:9" x14ac:dyDescent="0.2">
      <c r="B199" s="3">
        <v>191</v>
      </c>
      <c r="C199" s="8">
        <f t="shared" si="22"/>
        <v>51806</v>
      </c>
      <c r="D199" s="19" t="str">
        <f t="shared" si="23"/>
        <v>Nov</v>
      </c>
      <c r="E199" s="9">
        <f t="shared" si="24"/>
        <v>2041</v>
      </c>
      <c r="F199" s="60"/>
      <c r="H199" s="22">
        <f>IFERROR(IFERROR(INDEX(Gas_EIA2,1,MATCH(E199,$L$10:$AF$10,FALSE)),0)*INDEX(NG_Load_Shape,MATCH($D199,Adjustments!$H$3:$H$14,0),1),"Data Missing")</f>
        <v>4.0532953575939947</v>
      </c>
      <c r="I199" s="17">
        <f t="shared" si="27"/>
        <v>4.0532953575939947</v>
      </c>
    </row>
    <row r="200" spans="2:9" x14ac:dyDescent="0.2">
      <c r="B200" s="3">
        <v>192</v>
      </c>
      <c r="C200" s="8">
        <f t="shared" si="22"/>
        <v>51836</v>
      </c>
      <c r="D200" s="19" t="str">
        <f t="shared" si="23"/>
        <v>Dec</v>
      </c>
      <c r="E200" s="9">
        <f t="shared" si="24"/>
        <v>2041</v>
      </c>
      <c r="F200" s="60"/>
      <c r="H200" s="22">
        <f>IFERROR(IFERROR(INDEX(Gas_EIA2,1,MATCH(E200,$L$10:$AF$10,FALSE)),0)*INDEX(NG_Load_Shape,MATCH($D200,Adjustments!$H$3:$H$14,0),1),"Data Missing")</f>
        <v>6.6137569119523185</v>
      </c>
      <c r="I200" s="17">
        <f t="shared" si="27"/>
        <v>6.6137569119523185</v>
      </c>
    </row>
    <row r="201" spans="2:9" x14ac:dyDescent="0.2">
      <c r="B201" s="3">
        <v>193</v>
      </c>
      <c r="C201" s="8">
        <f t="shared" ref="C201:C264" si="28">DATE(Start_Year-1,B201,1)</f>
        <v>51867</v>
      </c>
      <c r="D201" s="19" t="str">
        <f t="shared" ref="D201:D264" si="29">CHOOSE(MONTH(C201), "Jan", "Feb", "Mar", "Apr", "May", "Jun", "Jul", "Aug", "Sep", "Oct", "Nov", "Dec")</f>
        <v>Jan</v>
      </c>
      <c r="E201" s="9">
        <f t="shared" si="24"/>
        <v>2042</v>
      </c>
      <c r="F201" s="60"/>
      <c r="H201" s="22">
        <f>IFERROR(IFERROR(INDEX(Gas_EIA2,1,MATCH(E201,$L$10:$AF$10,FALSE)),0)*INDEX(NG_Load_Shape,MATCH($D201,Adjustments!$H$3:$H$14,0),1),"Data Missing")</f>
        <v>9.8628830982988216</v>
      </c>
      <c r="I201" s="17">
        <f t="shared" si="27"/>
        <v>9.8628830982988216</v>
      </c>
    </row>
    <row r="202" spans="2:9" x14ac:dyDescent="0.2">
      <c r="B202" s="3">
        <v>194</v>
      </c>
      <c r="C202" s="8">
        <f t="shared" si="28"/>
        <v>51898</v>
      </c>
      <c r="D202" s="19" t="str">
        <f t="shared" si="29"/>
        <v>Feb</v>
      </c>
      <c r="E202" s="9">
        <f t="shared" ref="E202:E265" si="30">YEAR(C202)</f>
        <v>2042</v>
      </c>
      <c r="F202" s="60"/>
      <c r="H202" s="22">
        <f>IFERROR(IFERROR(INDEX(Gas_EIA2,1,MATCH(E202,$L$10:$AF$10,FALSE)),0)*INDEX(NG_Load_Shape,MATCH($D202,Adjustments!$H$3:$H$14,0),1),"Data Missing")</f>
        <v>8.6877972508389778</v>
      </c>
      <c r="I202" s="17">
        <f t="shared" si="27"/>
        <v>8.6877972508389778</v>
      </c>
    </row>
    <row r="203" spans="2:9" x14ac:dyDescent="0.2">
      <c r="B203" s="3">
        <v>195</v>
      </c>
      <c r="C203" s="8">
        <f t="shared" si="28"/>
        <v>51926</v>
      </c>
      <c r="D203" s="19" t="str">
        <f t="shared" si="29"/>
        <v>Mar</v>
      </c>
      <c r="E203" s="9">
        <f t="shared" si="30"/>
        <v>2042</v>
      </c>
      <c r="F203" s="60"/>
      <c r="H203" s="22">
        <f>IFERROR(IFERROR(INDEX(Gas_EIA2,1,MATCH(E203,$L$10:$AF$10,FALSE)),0)*INDEX(NG_Load_Shape,MATCH($D203,Adjustments!$H$3:$H$14,0),1),"Data Missing")</f>
        <v>4.734553327303324</v>
      </c>
      <c r="I203" s="17">
        <f t="shared" si="27"/>
        <v>4.734553327303324</v>
      </c>
    </row>
    <row r="204" spans="2:9" x14ac:dyDescent="0.2">
      <c r="B204" s="3">
        <v>196</v>
      </c>
      <c r="C204" s="8">
        <f t="shared" si="28"/>
        <v>51957</v>
      </c>
      <c r="D204" s="19" t="str">
        <f t="shared" si="29"/>
        <v>Apr</v>
      </c>
      <c r="E204" s="9">
        <f t="shared" si="30"/>
        <v>2042</v>
      </c>
      <c r="F204" s="60"/>
      <c r="H204" s="22">
        <f>IFERROR(IFERROR(INDEX(Gas_EIA2,1,MATCH(E204,$L$10:$AF$10,FALSE)),0)*INDEX(NG_Load_Shape,MATCH($D204,Adjustments!$H$3:$H$14,0),1),"Data Missing")</f>
        <v>3.886670569089175</v>
      </c>
      <c r="I204" s="17">
        <f t="shared" si="27"/>
        <v>3.886670569089175</v>
      </c>
    </row>
    <row r="205" spans="2:9" x14ac:dyDescent="0.2">
      <c r="B205" s="3">
        <v>197</v>
      </c>
      <c r="C205" s="8">
        <f t="shared" si="28"/>
        <v>51987</v>
      </c>
      <c r="D205" s="19" t="str">
        <f t="shared" si="29"/>
        <v>May</v>
      </c>
      <c r="E205" s="9">
        <f t="shared" si="30"/>
        <v>2042</v>
      </c>
      <c r="F205" s="60"/>
      <c r="H205" s="22">
        <f>IFERROR(IFERROR(INDEX(Gas_EIA2,1,MATCH(E205,$L$10:$AF$10,FALSE)),0)*INDEX(NG_Load_Shape,MATCH($D205,Adjustments!$H$3:$H$14,0),1),"Data Missing")</f>
        <v>3.4439273267377528</v>
      </c>
      <c r="I205" s="17">
        <f t="shared" si="27"/>
        <v>3.4439273267377528</v>
      </c>
    </row>
    <row r="206" spans="2:9" x14ac:dyDescent="0.2">
      <c r="B206" s="3">
        <v>198</v>
      </c>
      <c r="C206" s="8">
        <f t="shared" si="28"/>
        <v>52018</v>
      </c>
      <c r="D206" s="19" t="str">
        <f t="shared" si="29"/>
        <v>Jun</v>
      </c>
      <c r="E206" s="9">
        <f t="shared" si="30"/>
        <v>2042</v>
      </c>
      <c r="F206" s="60"/>
      <c r="H206" s="22">
        <f>IFERROR(IFERROR(INDEX(Gas_EIA2,1,MATCH(E206,$L$10:$AF$10,FALSE)),0)*INDEX(NG_Load_Shape,MATCH($D206,Adjustments!$H$3:$H$14,0),1),"Data Missing")</f>
        <v>3.4736909925084429</v>
      </c>
      <c r="I206" s="17">
        <f t="shared" si="27"/>
        <v>3.4736909925084429</v>
      </c>
    </row>
    <row r="207" spans="2:9" x14ac:dyDescent="0.2">
      <c r="B207" s="3">
        <v>199</v>
      </c>
      <c r="C207" s="8">
        <f t="shared" si="28"/>
        <v>52048</v>
      </c>
      <c r="D207" s="19" t="str">
        <f t="shared" si="29"/>
        <v>Jul</v>
      </c>
      <c r="E207" s="9">
        <f t="shared" si="30"/>
        <v>2042</v>
      </c>
      <c r="F207" s="60"/>
      <c r="H207" s="22">
        <f>IFERROR(IFERROR(INDEX(Gas_EIA2,1,MATCH(E207,$L$10:$AF$10,FALSE)),0)*INDEX(NG_Load_Shape,MATCH($D207,Adjustments!$H$3:$H$14,0),1),"Data Missing")</f>
        <v>3.632146594003328</v>
      </c>
      <c r="I207" s="17">
        <f t="shared" si="27"/>
        <v>3.632146594003328</v>
      </c>
    </row>
    <row r="208" spans="2:9" x14ac:dyDescent="0.2">
      <c r="B208" s="3">
        <v>200</v>
      </c>
      <c r="C208" s="8">
        <f t="shared" si="28"/>
        <v>52079</v>
      </c>
      <c r="D208" s="19" t="str">
        <f t="shared" si="29"/>
        <v>Aug</v>
      </c>
      <c r="E208" s="9">
        <f t="shared" si="30"/>
        <v>2042</v>
      </c>
      <c r="F208" s="60"/>
      <c r="H208" s="22">
        <f>IFERROR(IFERROR(INDEX(Gas_EIA2,1,MATCH(E208,$L$10:$AF$10,FALSE)),0)*INDEX(NG_Load_Shape,MATCH($D208,Adjustments!$H$3:$H$14,0),1),"Data Missing")</f>
        <v>3.6887681212143963</v>
      </c>
      <c r="I208" s="17">
        <f t="shared" si="27"/>
        <v>3.6887681212143963</v>
      </c>
    </row>
    <row r="209" spans="2:9" x14ac:dyDescent="0.2">
      <c r="B209" s="3">
        <v>201</v>
      </c>
      <c r="C209" s="8">
        <f t="shared" si="28"/>
        <v>52110</v>
      </c>
      <c r="D209" s="19" t="str">
        <f t="shared" si="29"/>
        <v>Sep</v>
      </c>
      <c r="E209" s="9">
        <f t="shared" si="30"/>
        <v>2042</v>
      </c>
      <c r="F209" s="60"/>
      <c r="H209" s="22">
        <f>IFERROR(IFERROR(INDEX(Gas_EIA2,1,MATCH(E209,$L$10:$AF$10,FALSE)),0)*INDEX(NG_Load_Shape,MATCH($D209,Adjustments!$H$3:$H$14,0),1),"Data Missing")</f>
        <v>3.1537090565634114</v>
      </c>
      <c r="I209" s="17">
        <f t="shared" si="27"/>
        <v>3.1537090565634114</v>
      </c>
    </row>
    <row r="210" spans="2:9" x14ac:dyDescent="0.2">
      <c r="B210" s="3">
        <v>202</v>
      </c>
      <c r="C210" s="8">
        <f t="shared" si="28"/>
        <v>52140</v>
      </c>
      <c r="D210" s="19" t="str">
        <f t="shared" si="29"/>
        <v>Oct</v>
      </c>
      <c r="E210" s="9">
        <f t="shared" si="30"/>
        <v>2042</v>
      </c>
      <c r="F210" s="60"/>
      <c r="H210" s="22">
        <f>IFERROR(IFERROR(INDEX(Gas_EIA2,1,MATCH(E210,$L$10:$AF$10,FALSE)),0)*INDEX(NG_Load_Shape,MATCH($D210,Adjustments!$H$3:$H$14,0),1),"Data Missing")</f>
        <v>3.2130544565288157</v>
      </c>
      <c r="I210" s="17">
        <f t="shared" si="27"/>
        <v>3.2130544565288157</v>
      </c>
    </row>
    <row r="211" spans="2:9" x14ac:dyDescent="0.2">
      <c r="B211" s="3">
        <v>203</v>
      </c>
      <c r="C211" s="8">
        <f t="shared" si="28"/>
        <v>52171</v>
      </c>
      <c r="D211" s="19" t="str">
        <f t="shared" si="29"/>
        <v>Nov</v>
      </c>
      <c r="E211" s="9">
        <f t="shared" si="30"/>
        <v>2042</v>
      </c>
      <c r="F211" s="60"/>
      <c r="H211" s="22">
        <f>IFERROR(IFERROR(INDEX(Gas_EIA2,1,MATCH(E211,$L$10:$AF$10,FALSE)),0)*INDEX(NG_Load_Shape,MATCH($D211,Adjustments!$H$3:$H$14,0),1),"Data Missing")</f>
        <v>4.1924941477150108</v>
      </c>
      <c r="I211" s="17">
        <f t="shared" si="27"/>
        <v>4.1924941477150108</v>
      </c>
    </row>
    <row r="212" spans="2:9" x14ac:dyDescent="0.2">
      <c r="B212" s="3">
        <v>204</v>
      </c>
      <c r="C212" s="8">
        <f t="shared" si="28"/>
        <v>52201</v>
      </c>
      <c r="D212" s="19" t="str">
        <f t="shared" si="29"/>
        <v>Dec</v>
      </c>
      <c r="E212" s="9">
        <f t="shared" si="30"/>
        <v>2042</v>
      </c>
      <c r="F212" s="60"/>
      <c r="H212" s="22">
        <f>IFERROR(IFERROR(INDEX(Gas_EIA2,1,MATCH(E212,$L$10:$AF$10,FALSE)),0)*INDEX(NG_Load_Shape,MATCH($D212,Adjustments!$H$3:$H$14,0),1),"Data Missing")</f>
        <v>6.8408874018568948</v>
      </c>
      <c r="I212" s="17">
        <f t="shared" si="27"/>
        <v>6.8408874018568948</v>
      </c>
    </row>
    <row r="213" spans="2:9" x14ac:dyDescent="0.2">
      <c r="B213" s="3">
        <v>205</v>
      </c>
      <c r="C213" s="8">
        <f t="shared" si="28"/>
        <v>52232</v>
      </c>
      <c r="D213" s="19" t="str">
        <f t="shared" si="29"/>
        <v>Jan</v>
      </c>
      <c r="E213" s="9">
        <f t="shared" si="30"/>
        <v>2043</v>
      </c>
      <c r="F213" s="60"/>
      <c r="H213" s="22">
        <f>IFERROR(IFERROR(INDEX(Gas_EIA2,1,MATCH(E213,$L$10:$AF$10,FALSE)),0)*INDEX(NG_Load_Shape,MATCH($D213,Adjustments!$H$3:$H$14,0),1),"Data Missing")</f>
        <v>10.200058076657974</v>
      </c>
      <c r="I213" s="17">
        <f t="shared" si="27"/>
        <v>10.200058076657974</v>
      </c>
    </row>
    <row r="214" spans="2:9" x14ac:dyDescent="0.2">
      <c r="B214" s="3">
        <v>206</v>
      </c>
      <c r="C214" s="8">
        <f t="shared" si="28"/>
        <v>52263</v>
      </c>
      <c r="D214" s="19" t="str">
        <f t="shared" si="29"/>
        <v>Feb</v>
      </c>
      <c r="E214" s="9">
        <f t="shared" si="30"/>
        <v>2043</v>
      </c>
      <c r="F214" s="60"/>
      <c r="H214" s="22">
        <f>IFERROR(IFERROR(INDEX(Gas_EIA2,1,MATCH(E214,$L$10:$AF$10,FALSE)),0)*INDEX(NG_Load_Shape,MATCH($D214,Adjustments!$H$3:$H$14,0),1),"Data Missing")</f>
        <v>8.9848004517129283</v>
      </c>
      <c r="I214" s="17">
        <f t="shared" si="27"/>
        <v>8.9848004517129283</v>
      </c>
    </row>
    <row r="215" spans="2:9" x14ac:dyDescent="0.2">
      <c r="B215" s="3">
        <v>207</v>
      </c>
      <c r="C215" s="8">
        <f t="shared" si="28"/>
        <v>52291</v>
      </c>
      <c r="D215" s="19" t="str">
        <f t="shared" si="29"/>
        <v>Mar</v>
      </c>
      <c r="E215" s="9">
        <f t="shared" si="30"/>
        <v>2043</v>
      </c>
      <c r="F215" s="60"/>
      <c r="H215" s="22">
        <f>IFERROR(IFERROR(INDEX(Gas_EIA2,1,MATCH(E215,$L$10:$AF$10,FALSE)),0)*INDEX(NG_Load_Shape,MATCH($D215,Adjustments!$H$3:$H$14,0),1),"Data Missing")</f>
        <v>4.8964099466876796</v>
      </c>
      <c r="I215" s="17">
        <f t="shared" si="27"/>
        <v>4.8964099466876796</v>
      </c>
    </row>
    <row r="216" spans="2:9" x14ac:dyDescent="0.2">
      <c r="B216" s="3">
        <v>208</v>
      </c>
      <c r="C216" s="8">
        <f t="shared" si="28"/>
        <v>52322</v>
      </c>
      <c r="D216" s="19" t="str">
        <f t="shared" si="29"/>
        <v>Apr</v>
      </c>
      <c r="E216" s="9">
        <f t="shared" si="30"/>
        <v>2043</v>
      </c>
      <c r="F216" s="60"/>
      <c r="H216" s="22">
        <f>IFERROR(IFERROR(INDEX(Gas_EIA2,1,MATCH(E216,$L$10:$AF$10,FALSE)),0)*INDEX(NG_Load_Shape,MATCH($D216,Adjustments!$H$3:$H$14,0),1),"Data Missing")</f>
        <v>4.0195412573008031</v>
      </c>
      <c r="I216" s="17">
        <f t="shared" si="27"/>
        <v>4.0195412573008031</v>
      </c>
    </row>
    <row r="217" spans="2:9" x14ac:dyDescent="0.2">
      <c r="B217" s="3">
        <v>209</v>
      </c>
      <c r="C217" s="8">
        <f t="shared" si="28"/>
        <v>52352</v>
      </c>
      <c r="D217" s="19" t="str">
        <f t="shared" si="29"/>
        <v>May</v>
      </c>
      <c r="E217" s="9">
        <f t="shared" si="30"/>
        <v>2043</v>
      </c>
      <c r="F217" s="60"/>
      <c r="H217" s="22">
        <f>IFERROR(IFERROR(INDEX(Gas_EIA2,1,MATCH(E217,$L$10:$AF$10,FALSE)),0)*INDEX(NG_Load_Shape,MATCH($D217,Adjustments!$H$3:$H$14,0),1),"Data Missing")</f>
        <v>3.5616622841827601</v>
      </c>
      <c r="I217" s="17">
        <f t="shared" ref="I217:I248" si="31">H217</f>
        <v>3.5616622841827601</v>
      </c>
    </row>
    <row r="218" spans="2:9" x14ac:dyDescent="0.2">
      <c r="B218" s="3">
        <v>210</v>
      </c>
      <c r="C218" s="8">
        <f t="shared" si="28"/>
        <v>52383</v>
      </c>
      <c r="D218" s="19" t="str">
        <f t="shared" si="29"/>
        <v>Jun</v>
      </c>
      <c r="E218" s="9">
        <f t="shared" si="30"/>
        <v>2043</v>
      </c>
      <c r="F218" s="60"/>
      <c r="H218" s="22">
        <f>IFERROR(IFERROR(INDEX(Gas_EIA2,1,MATCH(E218,$L$10:$AF$10,FALSE)),0)*INDEX(NG_Load_Shape,MATCH($D218,Adjustments!$H$3:$H$14,0),1),"Data Missing")</f>
        <v>3.5924434580453641</v>
      </c>
      <c r="I218" s="17">
        <f t="shared" si="31"/>
        <v>3.5924434580453641</v>
      </c>
    </row>
    <row r="219" spans="2:9" x14ac:dyDescent="0.2">
      <c r="B219" s="3">
        <v>211</v>
      </c>
      <c r="C219" s="8">
        <f t="shared" si="28"/>
        <v>52413</v>
      </c>
      <c r="D219" s="19" t="str">
        <f t="shared" si="29"/>
        <v>Jul</v>
      </c>
      <c r="E219" s="9">
        <f t="shared" si="30"/>
        <v>2043</v>
      </c>
      <c r="F219" s="60"/>
      <c r="H219" s="22">
        <f>IFERROR(IFERROR(INDEX(Gas_EIA2,1,MATCH(E219,$L$10:$AF$10,FALSE)),0)*INDEX(NG_Load_Shape,MATCH($D219,Adjustments!$H$3:$H$14,0),1),"Data Missing")</f>
        <v>3.7563160622029028</v>
      </c>
      <c r="I219" s="17">
        <f t="shared" si="31"/>
        <v>3.7563160622029028</v>
      </c>
    </row>
    <row r="220" spans="2:9" x14ac:dyDescent="0.2">
      <c r="B220" s="3">
        <v>212</v>
      </c>
      <c r="C220" s="8">
        <f t="shared" si="28"/>
        <v>52444</v>
      </c>
      <c r="D220" s="19" t="str">
        <f t="shared" si="29"/>
        <v>Aug</v>
      </c>
      <c r="E220" s="9">
        <f t="shared" si="30"/>
        <v>2043</v>
      </c>
      <c r="F220" s="60"/>
      <c r="H220" s="22">
        <f>IFERROR(IFERROR(INDEX(Gas_EIA2,1,MATCH(E220,$L$10:$AF$10,FALSE)),0)*INDEX(NG_Load_Shape,MATCH($D220,Adjustments!$H$3:$H$14,0),1),"Data Missing")</f>
        <v>3.8148732670471523</v>
      </c>
      <c r="I220" s="17">
        <f t="shared" si="31"/>
        <v>3.8148732670471523</v>
      </c>
    </row>
    <row r="221" spans="2:9" x14ac:dyDescent="0.2">
      <c r="B221" s="3">
        <v>213</v>
      </c>
      <c r="C221" s="8">
        <f t="shared" si="28"/>
        <v>52475</v>
      </c>
      <c r="D221" s="19" t="str">
        <f t="shared" si="29"/>
        <v>Sep</v>
      </c>
      <c r="E221" s="9">
        <f t="shared" si="30"/>
        <v>2043</v>
      </c>
      <c r="F221" s="60"/>
      <c r="H221" s="22">
        <f>IFERROR(IFERROR(INDEX(Gas_EIA2,1,MATCH(E221,$L$10:$AF$10,FALSE)),0)*INDEX(NG_Load_Shape,MATCH($D221,Adjustments!$H$3:$H$14,0),1),"Data Missing")</f>
        <v>3.2615225399333236</v>
      </c>
      <c r="I221" s="17">
        <f t="shared" si="31"/>
        <v>3.2615225399333236</v>
      </c>
    </row>
    <row r="222" spans="2:9" x14ac:dyDescent="0.2">
      <c r="B222" s="3">
        <v>214</v>
      </c>
      <c r="C222" s="8">
        <f t="shared" si="28"/>
        <v>52505</v>
      </c>
      <c r="D222" s="19" t="str">
        <f t="shared" si="29"/>
        <v>Oct</v>
      </c>
      <c r="E222" s="9">
        <f t="shared" si="30"/>
        <v>2043</v>
      </c>
      <c r="F222" s="60"/>
      <c r="H222" s="22">
        <f>IFERROR(IFERROR(INDEX(Gas_EIA2,1,MATCH(E222,$L$10:$AF$10,FALSE)),0)*INDEX(NG_Load_Shape,MATCH($D222,Adjustments!$H$3:$H$14,0),1),"Data Missing")</f>
        <v>3.3228967365243824</v>
      </c>
      <c r="I222" s="17">
        <f t="shared" si="31"/>
        <v>3.3228967365243824</v>
      </c>
    </row>
    <row r="223" spans="2:9" x14ac:dyDescent="0.2">
      <c r="B223" s="3">
        <v>215</v>
      </c>
      <c r="C223" s="8">
        <f t="shared" si="28"/>
        <v>52536</v>
      </c>
      <c r="D223" s="19" t="str">
        <f t="shared" si="29"/>
        <v>Nov</v>
      </c>
      <c r="E223" s="9">
        <f t="shared" si="30"/>
        <v>2043</v>
      </c>
      <c r="F223" s="60"/>
      <c r="H223" s="22">
        <f>IFERROR(IFERROR(INDEX(Gas_EIA2,1,MATCH(E223,$L$10:$AF$10,FALSE)),0)*INDEX(NG_Load_Shape,MATCH($D223,Adjustments!$H$3:$H$14,0),1),"Data Missing")</f>
        <v>4.3358197969636061</v>
      </c>
      <c r="I223" s="17">
        <f t="shared" si="31"/>
        <v>4.3358197969636061</v>
      </c>
    </row>
    <row r="224" spans="2:9" x14ac:dyDescent="0.2">
      <c r="B224" s="3">
        <v>216</v>
      </c>
      <c r="C224" s="8">
        <f t="shared" si="28"/>
        <v>52566</v>
      </c>
      <c r="D224" s="19" t="str">
        <f t="shared" si="29"/>
        <v>Dec</v>
      </c>
      <c r="E224" s="9">
        <f t="shared" si="30"/>
        <v>2043</v>
      </c>
      <c r="F224" s="60"/>
      <c r="H224" s="22">
        <f>IFERROR(IFERROR(INDEX(Gas_EIA2,1,MATCH(E224,$L$10:$AF$10,FALSE)),0)*INDEX(NG_Load_Shape,MATCH($D224,Adjustments!$H$3:$H$14,0),1),"Data Missing")</f>
        <v>7.0747516825839316</v>
      </c>
      <c r="I224" s="17">
        <f t="shared" si="31"/>
        <v>7.0747516825839316</v>
      </c>
    </row>
    <row r="225" spans="2:9" x14ac:dyDescent="0.2">
      <c r="B225" s="3">
        <v>217</v>
      </c>
      <c r="C225" s="8">
        <f t="shared" si="28"/>
        <v>52597</v>
      </c>
      <c r="D225" s="19" t="str">
        <f t="shared" si="29"/>
        <v>Jan</v>
      </c>
      <c r="E225" s="9">
        <f t="shared" si="30"/>
        <v>2044</v>
      </c>
      <c r="F225" s="60"/>
      <c r="H225" s="22">
        <f>IFERROR(IFERROR(INDEX(Gas_EIA2,1,MATCH(E225,$L$10:$AF$10,FALSE)),0)*INDEX(NG_Load_Shape,MATCH($D225,Adjustments!$H$3:$H$14,0),1),"Data Missing")</f>
        <v>10.4139872031307</v>
      </c>
      <c r="I225" s="17">
        <f t="shared" si="31"/>
        <v>10.4139872031307</v>
      </c>
    </row>
    <row r="226" spans="2:9" x14ac:dyDescent="0.2">
      <c r="B226" s="3">
        <v>218</v>
      </c>
      <c r="C226" s="8">
        <f t="shared" si="28"/>
        <v>52628</v>
      </c>
      <c r="D226" s="19" t="str">
        <f t="shared" si="29"/>
        <v>Feb</v>
      </c>
      <c r="E226" s="9">
        <f t="shared" si="30"/>
        <v>2044</v>
      </c>
      <c r="F226" s="60"/>
      <c r="H226" s="22">
        <f>IFERROR(IFERROR(INDEX(Gas_EIA2,1,MATCH(E226,$L$10:$AF$10,FALSE)),0)*INDEX(NG_Load_Shape,MATCH($D226,Adjustments!$H$3:$H$14,0),1),"Data Missing")</f>
        <v>9.1732415858438507</v>
      </c>
      <c r="I226" s="17">
        <f t="shared" si="31"/>
        <v>9.1732415858438507</v>
      </c>
    </row>
    <row r="227" spans="2:9" x14ac:dyDescent="0.2">
      <c r="B227" s="3">
        <v>219</v>
      </c>
      <c r="C227" s="8">
        <f t="shared" si="28"/>
        <v>52657</v>
      </c>
      <c r="D227" s="19" t="str">
        <f t="shared" si="29"/>
        <v>Mar</v>
      </c>
      <c r="E227" s="9">
        <f t="shared" si="30"/>
        <v>2044</v>
      </c>
      <c r="F227" s="60"/>
      <c r="H227" s="22">
        <f>IFERROR(IFERROR(INDEX(Gas_EIA2,1,MATCH(E227,$L$10:$AF$10,FALSE)),0)*INDEX(NG_Load_Shape,MATCH($D227,Adjustments!$H$3:$H$14,0),1),"Data Missing")</f>
        <v>4.9991039406703566</v>
      </c>
      <c r="I227" s="17">
        <f t="shared" si="31"/>
        <v>4.9991039406703566</v>
      </c>
    </row>
    <row r="228" spans="2:9" x14ac:dyDescent="0.2">
      <c r="B228" s="3">
        <v>220</v>
      </c>
      <c r="C228" s="8">
        <f t="shared" si="28"/>
        <v>52688</v>
      </c>
      <c r="D228" s="19" t="str">
        <f t="shared" si="29"/>
        <v>Apr</v>
      </c>
      <c r="E228" s="9">
        <f t="shared" si="30"/>
        <v>2044</v>
      </c>
      <c r="F228" s="60"/>
      <c r="H228" s="22">
        <f>IFERROR(IFERROR(INDEX(Gas_EIA2,1,MATCH(E228,$L$10:$AF$10,FALSE)),0)*INDEX(NG_Load_Shape,MATCH($D228,Adjustments!$H$3:$H$14,0),1),"Data Missing")</f>
        <v>4.1038443998449861</v>
      </c>
      <c r="I228" s="17">
        <f t="shared" si="31"/>
        <v>4.1038443998449861</v>
      </c>
    </row>
    <row r="229" spans="2:9" x14ac:dyDescent="0.2">
      <c r="B229" s="3">
        <v>221</v>
      </c>
      <c r="C229" s="8">
        <f t="shared" si="28"/>
        <v>52718</v>
      </c>
      <c r="D229" s="19" t="str">
        <f t="shared" si="29"/>
        <v>May</v>
      </c>
      <c r="E229" s="9">
        <f t="shared" si="30"/>
        <v>2044</v>
      </c>
      <c r="F229" s="60"/>
      <c r="H229" s="22">
        <f>IFERROR(IFERROR(INDEX(Gas_EIA2,1,MATCH(E229,$L$10:$AF$10,FALSE)),0)*INDEX(NG_Load_Shape,MATCH($D229,Adjustments!$H$3:$H$14,0),1),"Data Missing")</f>
        <v>3.6363621825088024</v>
      </c>
      <c r="I229" s="17">
        <f t="shared" si="31"/>
        <v>3.6363621825088024</v>
      </c>
    </row>
    <row r="230" spans="2:9" x14ac:dyDescent="0.2">
      <c r="B230" s="3">
        <v>222</v>
      </c>
      <c r="C230" s="8">
        <f t="shared" si="28"/>
        <v>52749</v>
      </c>
      <c r="D230" s="19" t="str">
        <f t="shared" si="29"/>
        <v>Jun</v>
      </c>
      <c r="E230" s="9">
        <f t="shared" si="30"/>
        <v>2044</v>
      </c>
      <c r="F230" s="60"/>
      <c r="H230" s="22">
        <f>IFERROR(IFERROR(INDEX(Gas_EIA2,1,MATCH(E230,$L$10:$AF$10,FALSE)),0)*INDEX(NG_Load_Shape,MATCH($D230,Adjustments!$H$3:$H$14,0),1),"Data Missing")</f>
        <v>3.6677889399148276</v>
      </c>
      <c r="I230" s="17">
        <f t="shared" si="31"/>
        <v>3.6677889399148276</v>
      </c>
    </row>
    <row r="231" spans="2:9" x14ac:dyDescent="0.2">
      <c r="B231" s="3">
        <v>223</v>
      </c>
      <c r="C231" s="8">
        <f t="shared" si="28"/>
        <v>52779</v>
      </c>
      <c r="D231" s="19" t="str">
        <f t="shared" si="29"/>
        <v>Jul</v>
      </c>
      <c r="E231" s="9">
        <f t="shared" si="30"/>
        <v>2044</v>
      </c>
      <c r="F231" s="60"/>
      <c r="H231" s="22">
        <f>IFERROR(IFERROR(INDEX(Gas_EIA2,1,MATCH(E231,$L$10:$AF$10,FALSE)),0)*INDEX(NG_Load_Shape,MATCH($D231,Adjustments!$H$3:$H$14,0),1),"Data Missing")</f>
        <v>3.8350984973521185</v>
      </c>
      <c r="I231" s="17">
        <f t="shared" si="31"/>
        <v>3.8350984973521185</v>
      </c>
    </row>
    <row r="232" spans="2:9" x14ac:dyDescent="0.2">
      <c r="B232" s="3">
        <v>224</v>
      </c>
      <c r="C232" s="8">
        <f t="shared" si="28"/>
        <v>52810</v>
      </c>
      <c r="D232" s="19" t="str">
        <f t="shared" si="29"/>
        <v>Aug</v>
      </c>
      <c r="E232" s="9">
        <f t="shared" si="30"/>
        <v>2044</v>
      </c>
      <c r="F232" s="60"/>
      <c r="H232" s="22">
        <f>IFERROR(IFERROR(INDEX(Gas_EIA2,1,MATCH(E232,$L$10:$AF$10,FALSE)),0)*INDEX(NG_Load_Shape,MATCH($D232,Adjustments!$H$3:$H$14,0),1),"Data Missing")</f>
        <v>3.8948838414468376</v>
      </c>
      <c r="I232" s="17">
        <f t="shared" si="31"/>
        <v>3.8948838414468376</v>
      </c>
    </row>
    <row r="233" spans="2:9" x14ac:dyDescent="0.2">
      <c r="B233" s="3">
        <v>225</v>
      </c>
      <c r="C233" s="8">
        <f t="shared" si="28"/>
        <v>52841</v>
      </c>
      <c r="D233" s="19" t="str">
        <f t="shared" si="29"/>
        <v>Sep</v>
      </c>
      <c r="E233" s="9">
        <f t="shared" si="30"/>
        <v>2044</v>
      </c>
      <c r="F233" s="60"/>
      <c r="H233" s="22">
        <f>IFERROR(IFERROR(INDEX(Gas_EIA2,1,MATCH(E233,$L$10:$AF$10,FALSE)),0)*INDEX(NG_Load_Shape,MATCH($D233,Adjustments!$H$3:$H$14,0),1),"Data Missing")</f>
        <v>3.3299275100516561</v>
      </c>
      <c r="I233" s="17">
        <f t="shared" si="31"/>
        <v>3.3299275100516561</v>
      </c>
    </row>
    <row r="234" spans="2:9" x14ac:dyDescent="0.2">
      <c r="B234" s="3">
        <v>226</v>
      </c>
      <c r="C234" s="8">
        <f t="shared" si="28"/>
        <v>52871</v>
      </c>
      <c r="D234" s="19" t="str">
        <f t="shared" si="29"/>
        <v>Oct</v>
      </c>
      <c r="E234" s="9">
        <f t="shared" si="30"/>
        <v>2044</v>
      </c>
      <c r="F234" s="60"/>
      <c r="H234" s="22">
        <f>IFERROR(IFERROR(INDEX(Gas_EIA2,1,MATCH(E234,$L$10:$AF$10,FALSE)),0)*INDEX(NG_Load_Shape,MATCH($D234,Adjustments!$H$3:$H$14,0),1),"Data Missing")</f>
        <v>3.3925889275747934</v>
      </c>
      <c r="I234" s="17">
        <f t="shared" si="31"/>
        <v>3.3925889275747934</v>
      </c>
    </row>
    <row r="235" spans="2:9" x14ac:dyDescent="0.2">
      <c r="B235" s="3">
        <v>227</v>
      </c>
      <c r="C235" s="8">
        <f t="shared" si="28"/>
        <v>52902</v>
      </c>
      <c r="D235" s="19" t="str">
        <f t="shared" si="29"/>
        <v>Nov</v>
      </c>
      <c r="E235" s="9">
        <f t="shared" si="30"/>
        <v>2044</v>
      </c>
      <c r="F235" s="60"/>
      <c r="H235" s="22">
        <f>IFERROR(IFERROR(INDEX(Gas_EIA2,1,MATCH(E235,$L$10:$AF$10,FALSE)),0)*INDEX(NG_Load_Shape,MATCH($D235,Adjustments!$H$3:$H$14,0),1),"Data Missing")</f>
        <v>4.4267563519063886</v>
      </c>
      <c r="I235" s="17">
        <f t="shared" si="31"/>
        <v>4.4267563519063886</v>
      </c>
    </row>
    <row r="236" spans="2:9" x14ac:dyDescent="0.2">
      <c r="B236" s="3">
        <v>228</v>
      </c>
      <c r="C236" s="8">
        <f t="shared" si="28"/>
        <v>52932</v>
      </c>
      <c r="D236" s="19" t="str">
        <f t="shared" si="29"/>
        <v>Dec</v>
      </c>
      <c r="E236" s="9">
        <f t="shared" si="30"/>
        <v>2044</v>
      </c>
      <c r="F236" s="60"/>
      <c r="H236" s="22">
        <f>IFERROR(IFERROR(INDEX(Gas_EIA2,1,MATCH(E236,$L$10:$AF$10,FALSE)),0)*INDEX(NG_Load_Shape,MATCH($D236,Adjustments!$H$3:$H$14,0),1),"Data Missing")</f>
        <v>7.2231327443477014</v>
      </c>
      <c r="I236" s="17">
        <f t="shared" si="31"/>
        <v>7.2231327443477014</v>
      </c>
    </row>
    <row r="237" spans="2:9" x14ac:dyDescent="0.2">
      <c r="B237" s="3">
        <v>229</v>
      </c>
      <c r="C237" s="8">
        <f t="shared" si="28"/>
        <v>52963</v>
      </c>
      <c r="D237" s="19" t="str">
        <f t="shared" si="29"/>
        <v>Jan</v>
      </c>
      <c r="E237" s="9">
        <f t="shared" si="30"/>
        <v>2045</v>
      </c>
      <c r="F237" s="60"/>
      <c r="H237" s="22">
        <f>IFERROR(IFERROR(INDEX(Gas_EIA2,1,MATCH(E237,$L$10:$AF$10,FALSE)),0)*INDEX(NG_Load_Shape,MATCH($D237,Adjustments!$H$3:$H$14,0),1),"Data Missing")</f>
        <v>10.566122018699105</v>
      </c>
      <c r="I237" s="17">
        <f t="shared" si="31"/>
        <v>10.566122018699105</v>
      </c>
    </row>
    <row r="238" spans="2:9" x14ac:dyDescent="0.2">
      <c r="B238" s="3">
        <v>230</v>
      </c>
      <c r="C238" s="8">
        <f t="shared" si="28"/>
        <v>52994</v>
      </c>
      <c r="D238" s="19" t="str">
        <f t="shared" si="29"/>
        <v>Feb</v>
      </c>
      <c r="E238" s="9">
        <f t="shared" si="30"/>
        <v>2045</v>
      </c>
      <c r="F238" s="60"/>
      <c r="H238" s="22">
        <f>IFERROR(IFERROR(INDEX(Gas_EIA2,1,MATCH(E238,$L$10:$AF$10,FALSE)),0)*INDEX(NG_Load_Shape,MATCH($D238,Adjustments!$H$3:$H$14,0),1),"Data Missing")</f>
        <v>9.3072507208279234</v>
      </c>
      <c r="I238" s="17">
        <f t="shared" si="31"/>
        <v>9.3072507208279234</v>
      </c>
    </row>
    <row r="239" spans="2:9" x14ac:dyDescent="0.2">
      <c r="B239" s="3">
        <v>231</v>
      </c>
      <c r="C239" s="8">
        <f t="shared" si="28"/>
        <v>53022</v>
      </c>
      <c r="D239" s="19" t="str">
        <f t="shared" si="29"/>
        <v>Mar</v>
      </c>
      <c r="E239" s="9">
        <f t="shared" si="30"/>
        <v>2045</v>
      </c>
      <c r="F239" s="60"/>
      <c r="H239" s="22">
        <f>IFERROR(IFERROR(INDEX(Gas_EIA2,1,MATCH(E239,$L$10:$AF$10,FALSE)),0)*INDEX(NG_Load_Shape,MATCH($D239,Adjustments!$H$3:$H$14,0),1),"Data Missing")</f>
        <v>5.0721343507511873</v>
      </c>
      <c r="I239" s="17">
        <f t="shared" si="31"/>
        <v>5.0721343507511873</v>
      </c>
    </row>
    <row r="240" spans="2:9" x14ac:dyDescent="0.2">
      <c r="B240" s="3">
        <v>232</v>
      </c>
      <c r="C240" s="8">
        <f t="shared" si="28"/>
        <v>53053</v>
      </c>
      <c r="D240" s="19" t="str">
        <f t="shared" si="29"/>
        <v>Apr</v>
      </c>
      <c r="E240" s="9">
        <f t="shared" si="30"/>
        <v>2045</v>
      </c>
      <c r="F240" s="60"/>
      <c r="H240" s="22">
        <f>IFERROR(IFERROR(INDEX(Gas_EIA2,1,MATCH(E240,$L$10:$AF$10,FALSE)),0)*INDEX(NG_Load_Shape,MATCH($D240,Adjustments!$H$3:$H$14,0),1),"Data Missing")</f>
        <v>4.1637962318103785</v>
      </c>
      <c r="I240" s="17">
        <f t="shared" si="31"/>
        <v>4.1637962318103785</v>
      </c>
    </row>
    <row r="241" spans="2:9" x14ac:dyDescent="0.2">
      <c r="B241" s="3">
        <v>233</v>
      </c>
      <c r="C241" s="8">
        <f t="shared" si="28"/>
        <v>53083</v>
      </c>
      <c r="D241" s="19" t="str">
        <f t="shared" si="29"/>
        <v>May</v>
      </c>
      <c r="E241" s="9">
        <f t="shared" si="30"/>
        <v>2045</v>
      </c>
      <c r="F241" s="60"/>
      <c r="H241" s="22">
        <f>IFERROR(IFERROR(INDEX(Gas_EIA2,1,MATCH(E241,$L$10:$AF$10,FALSE)),0)*INDEX(NG_Load_Shape,MATCH($D241,Adjustments!$H$3:$H$14,0),1),"Data Missing")</f>
        <v>3.6894847069737429</v>
      </c>
      <c r="I241" s="17">
        <f t="shared" si="31"/>
        <v>3.6894847069737429</v>
      </c>
    </row>
    <row r="242" spans="2:9" x14ac:dyDescent="0.2">
      <c r="B242" s="3">
        <v>234</v>
      </c>
      <c r="C242" s="8">
        <f t="shared" si="28"/>
        <v>53114</v>
      </c>
      <c r="D242" s="19" t="str">
        <f t="shared" si="29"/>
        <v>Jun</v>
      </c>
      <c r="E242" s="9">
        <f t="shared" si="30"/>
        <v>2045</v>
      </c>
      <c r="F242" s="60"/>
      <c r="H242" s="22">
        <f>IFERROR(IFERROR(INDEX(Gas_EIA2,1,MATCH(E242,$L$10:$AF$10,FALSE)),0)*INDEX(NG_Load_Shape,MATCH($D242,Adjustments!$H$3:$H$14,0),1),"Data Missing")</f>
        <v>3.7213705684528406</v>
      </c>
      <c r="I242" s="17">
        <f t="shared" si="31"/>
        <v>3.7213705684528406</v>
      </c>
    </row>
    <row r="243" spans="2:9" x14ac:dyDescent="0.2">
      <c r="B243" s="3">
        <v>235</v>
      </c>
      <c r="C243" s="8">
        <f t="shared" si="28"/>
        <v>53144</v>
      </c>
      <c r="D243" s="19" t="str">
        <f t="shared" si="29"/>
        <v>Jul</v>
      </c>
      <c r="E243" s="9">
        <f t="shared" si="30"/>
        <v>2045</v>
      </c>
      <c r="F243" s="60"/>
      <c r="H243" s="22">
        <f>IFERROR(IFERROR(INDEX(Gas_EIA2,1,MATCH(E243,$L$10:$AF$10,FALSE)),0)*INDEX(NG_Load_Shape,MATCH($D243,Adjustments!$H$3:$H$14,0),1),"Data Missing")</f>
        <v>3.8911243010333374</v>
      </c>
      <c r="I243" s="17">
        <f t="shared" si="31"/>
        <v>3.8911243010333374</v>
      </c>
    </row>
    <row r="244" spans="2:9" x14ac:dyDescent="0.2">
      <c r="B244" s="3">
        <v>236</v>
      </c>
      <c r="C244" s="8">
        <f t="shared" si="28"/>
        <v>53175</v>
      </c>
      <c r="D244" s="19" t="str">
        <f t="shared" si="29"/>
        <v>Aug</v>
      </c>
      <c r="E244" s="9">
        <f t="shared" si="30"/>
        <v>2045</v>
      </c>
      <c r="F244" s="60"/>
      <c r="H244" s="22">
        <f>IFERROR(IFERROR(INDEX(Gas_EIA2,1,MATCH(E244,$L$10:$AF$10,FALSE)),0)*INDEX(NG_Load_Shape,MATCH($D244,Adjustments!$H$3:$H$14,0),1),"Data Missing")</f>
        <v>3.9517830312884317</v>
      </c>
      <c r="I244" s="17">
        <f t="shared" si="31"/>
        <v>3.9517830312884317</v>
      </c>
    </row>
    <row r="245" spans="2:9" x14ac:dyDescent="0.2">
      <c r="B245" s="3">
        <v>237</v>
      </c>
      <c r="C245" s="8">
        <f t="shared" si="28"/>
        <v>53206</v>
      </c>
      <c r="D245" s="19" t="str">
        <f t="shared" si="29"/>
        <v>Sep</v>
      </c>
      <c r="E245" s="9">
        <f t="shared" si="30"/>
        <v>2045</v>
      </c>
      <c r="F245" s="60"/>
      <c r="H245" s="22">
        <f>IFERROR(IFERROR(INDEX(Gas_EIA2,1,MATCH(E245,$L$10:$AF$10,FALSE)),0)*INDEX(NG_Load_Shape,MATCH($D245,Adjustments!$H$3:$H$14,0),1),"Data Missing")</f>
        <v>3.3785734222960619</v>
      </c>
      <c r="I245" s="17">
        <f t="shared" si="31"/>
        <v>3.3785734222960619</v>
      </c>
    </row>
    <row r="246" spans="2:9" x14ac:dyDescent="0.2">
      <c r="B246" s="3">
        <v>238</v>
      </c>
      <c r="C246" s="8">
        <f t="shared" si="28"/>
        <v>53236</v>
      </c>
      <c r="D246" s="19" t="str">
        <f t="shared" si="29"/>
        <v>Oct</v>
      </c>
      <c r="E246" s="9">
        <f t="shared" si="30"/>
        <v>2045</v>
      </c>
      <c r="F246" s="60"/>
      <c r="H246" s="22">
        <f>IFERROR(IFERROR(INDEX(Gas_EIA2,1,MATCH(E246,$L$10:$AF$10,FALSE)),0)*INDEX(NG_Load_Shape,MATCH($D246,Adjustments!$H$3:$H$14,0),1),"Data Missing")</f>
        <v>3.4421502416736653</v>
      </c>
      <c r="I246" s="17">
        <f t="shared" si="31"/>
        <v>3.4421502416736653</v>
      </c>
    </row>
    <row r="247" spans="2:9" x14ac:dyDescent="0.2">
      <c r="B247" s="3">
        <v>239</v>
      </c>
      <c r="C247" s="8">
        <f t="shared" si="28"/>
        <v>53267</v>
      </c>
      <c r="D247" s="19" t="str">
        <f t="shared" si="29"/>
        <v>Nov</v>
      </c>
      <c r="E247" s="9">
        <f t="shared" si="30"/>
        <v>2045</v>
      </c>
      <c r="F247" s="60"/>
      <c r="H247" s="22">
        <f>IFERROR(IFERROR(INDEX(Gas_EIA2,1,MATCH(E247,$L$10:$AF$10,FALSE)),0)*INDEX(NG_Load_Shape,MATCH($D247,Adjustments!$H$3:$H$14,0),1),"Data Missing")</f>
        <v>4.4914255077280005</v>
      </c>
      <c r="I247" s="17">
        <f t="shared" si="31"/>
        <v>4.4914255077280005</v>
      </c>
    </row>
    <row r="248" spans="2:9" x14ac:dyDescent="0.2">
      <c r="B248" s="3">
        <v>240</v>
      </c>
      <c r="C248" s="8">
        <f t="shared" si="28"/>
        <v>53297</v>
      </c>
      <c r="D248" s="19" t="str">
        <f t="shared" si="29"/>
        <v>Dec</v>
      </c>
      <c r="E248" s="9">
        <f t="shared" si="30"/>
        <v>2045</v>
      </c>
      <c r="F248" s="60"/>
      <c r="H248" s="22">
        <f>IFERROR(IFERROR(INDEX(Gas_EIA2,1,MATCH(E248,$L$10:$AF$10,FALSE)),0)*INDEX(NG_Load_Shape,MATCH($D248,Adjustments!$H$3:$H$14,0),1),"Data Missing")</f>
        <v>7.3286533241653027</v>
      </c>
      <c r="I248" s="17">
        <f t="shared" si="31"/>
        <v>7.3286533241653027</v>
      </c>
    </row>
    <row r="249" spans="2:9" x14ac:dyDescent="0.2">
      <c r="B249" s="3">
        <v>241</v>
      </c>
      <c r="C249" s="8">
        <f t="shared" si="28"/>
        <v>53328</v>
      </c>
      <c r="D249" s="19" t="str">
        <f t="shared" si="29"/>
        <v>Jan</v>
      </c>
      <c r="E249" s="9">
        <f t="shared" si="30"/>
        <v>2046</v>
      </c>
      <c r="F249" s="60"/>
      <c r="H249" s="22">
        <f>IFERROR(IFERROR(INDEX(Gas_EIA2,1,MATCH(E249,$L$10:$AG$10,FALSE)),0)*INDEX(NG_Load_Shape,MATCH($D249,Adjustments!$H$3:$H$14,0),1),"Data Missing")</f>
        <v>10.984715020366048</v>
      </c>
      <c r="I249" s="17">
        <f>H249</f>
        <v>10.984715020366048</v>
      </c>
    </row>
    <row r="250" spans="2:9" x14ac:dyDescent="0.2">
      <c r="B250" s="3">
        <v>242</v>
      </c>
      <c r="C250" s="8">
        <f t="shared" si="28"/>
        <v>53359</v>
      </c>
      <c r="D250" s="19" t="str">
        <f t="shared" si="29"/>
        <v>Feb</v>
      </c>
      <c r="E250" s="9">
        <f t="shared" si="30"/>
        <v>2046</v>
      </c>
      <c r="F250" s="60"/>
      <c r="H250" s="22">
        <f>IFERROR(IFERROR(INDEX(Gas_EIA2,1,MATCH(E250,$L$10:$AG$10,FALSE)),0)*INDEX(NG_Load_Shape,MATCH($D250,Adjustments!$H$3:$H$14,0),1),"Data Missing")</f>
        <v>9.6759716204733603</v>
      </c>
      <c r="I250" s="17">
        <f t="shared" ref="I250:I272" si="32">H250</f>
        <v>9.6759716204733603</v>
      </c>
    </row>
    <row r="251" spans="2:9" x14ac:dyDescent="0.2">
      <c r="B251" s="3">
        <v>243</v>
      </c>
      <c r="C251" s="8">
        <f t="shared" si="28"/>
        <v>53387</v>
      </c>
      <c r="D251" s="19" t="str">
        <f t="shared" si="29"/>
        <v>Mar</v>
      </c>
      <c r="E251" s="9">
        <f t="shared" si="30"/>
        <v>2046</v>
      </c>
      <c r="F251" s="60"/>
      <c r="H251" s="22">
        <f>IFERROR(IFERROR(INDEX(Gas_EIA2,1,MATCH(E251,$L$10:$AG$10,FALSE)),0)*INDEX(NG_Load_Shape,MATCH($D251,Adjustments!$H$3:$H$14,0),1),"Data Missing")</f>
        <v>5.2730746710486009</v>
      </c>
      <c r="I251" s="17">
        <f t="shared" si="32"/>
        <v>5.2730746710486009</v>
      </c>
    </row>
    <row r="252" spans="2:9" x14ac:dyDescent="0.2">
      <c r="B252" s="3">
        <v>244</v>
      </c>
      <c r="C252" s="8">
        <f t="shared" si="28"/>
        <v>53418</v>
      </c>
      <c r="D252" s="19" t="str">
        <f t="shared" si="29"/>
        <v>Apr</v>
      </c>
      <c r="E252" s="9">
        <f t="shared" si="30"/>
        <v>2046</v>
      </c>
      <c r="F252" s="60"/>
      <c r="H252" s="22">
        <f>IFERROR(IFERROR(INDEX(Gas_EIA2,1,MATCH(E252,$L$10:$AG$10,FALSE)),0)*INDEX(NG_Load_Shape,MATCH($D252,Adjustments!$H$3:$H$14,0),1),"Data Missing")</f>
        <v>4.3287513553569834</v>
      </c>
      <c r="I252" s="17">
        <f t="shared" si="32"/>
        <v>4.3287513553569834</v>
      </c>
    </row>
    <row r="253" spans="2:9" x14ac:dyDescent="0.2">
      <c r="B253" s="3">
        <v>245</v>
      </c>
      <c r="C253" s="8">
        <f t="shared" si="28"/>
        <v>53448</v>
      </c>
      <c r="D253" s="19" t="str">
        <f t="shared" si="29"/>
        <v>May</v>
      </c>
      <c r="E253" s="9">
        <f t="shared" si="30"/>
        <v>2046</v>
      </c>
      <c r="F253" s="60"/>
      <c r="H253" s="22">
        <f>IFERROR(IFERROR(INDEX(Gas_EIA2,1,MATCH(E253,$L$10:$AG$10,FALSE)),0)*INDEX(NG_Load_Shape,MATCH($D253,Adjustments!$H$3:$H$14,0),1),"Data Missing")</f>
        <v>3.8356492577297607</v>
      </c>
      <c r="I253" s="17">
        <f t="shared" si="32"/>
        <v>3.8356492577297607</v>
      </c>
    </row>
    <row r="254" spans="2:9" x14ac:dyDescent="0.2">
      <c r="B254" s="3">
        <v>246</v>
      </c>
      <c r="C254" s="8">
        <f t="shared" si="28"/>
        <v>53479</v>
      </c>
      <c r="D254" s="19" t="str">
        <f t="shared" si="29"/>
        <v>Jun</v>
      </c>
      <c r="E254" s="9">
        <f t="shared" si="30"/>
        <v>2046</v>
      </c>
      <c r="F254" s="60"/>
      <c r="H254" s="22">
        <f>IFERROR(IFERROR(INDEX(Gas_EIA2,1,MATCH(E254,$L$10:$AG$10,FALSE)),0)*INDEX(NG_Load_Shape,MATCH($D254,Adjustments!$H$3:$H$14,0),1),"Data Missing")</f>
        <v>3.8687983261303427</v>
      </c>
      <c r="I254" s="17">
        <f t="shared" si="32"/>
        <v>3.8687983261303427</v>
      </c>
    </row>
    <row r="255" spans="2:9" x14ac:dyDescent="0.2">
      <c r="B255" s="3">
        <v>247</v>
      </c>
      <c r="C255" s="8">
        <f t="shared" si="28"/>
        <v>53509</v>
      </c>
      <c r="D255" s="19" t="str">
        <f t="shared" si="29"/>
        <v>Jul</v>
      </c>
      <c r="E255" s="9">
        <f t="shared" si="30"/>
        <v>2046</v>
      </c>
      <c r="F255" s="60"/>
      <c r="H255" s="22">
        <f>IFERROR(IFERROR(INDEX(Gas_EIA2,1,MATCH(E255,$L$10:$AG$10,FALSE)),0)*INDEX(NG_Load_Shape,MATCH($D255,Adjustments!$H$3:$H$14,0),1),"Data Missing")</f>
        <v>4.0452771111320862</v>
      </c>
      <c r="I255" s="17">
        <f t="shared" si="32"/>
        <v>4.0452771111320862</v>
      </c>
    </row>
    <row r="256" spans="2:9" x14ac:dyDescent="0.2">
      <c r="B256" s="3">
        <v>248</v>
      </c>
      <c r="C256" s="8">
        <f t="shared" si="28"/>
        <v>53540</v>
      </c>
      <c r="D256" s="19" t="str">
        <f t="shared" si="29"/>
        <v>Aug</v>
      </c>
      <c r="E256" s="9">
        <f t="shared" si="30"/>
        <v>2046</v>
      </c>
      <c r="F256" s="60"/>
      <c r="H256" s="22">
        <f>IFERROR(IFERROR(INDEX(Gas_EIA2,1,MATCH(E256,$L$10:$AG$10,FALSE)),0)*INDEX(NG_Load_Shape,MATCH($D256,Adjustments!$H$3:$H$14,0),1),"Data Missing")</f>
        <v>4.1083389292873438</v>
      </c>
      <c r="I256" s="17">
        <f t="shared" si="32"/>
        <v>4.1083389292873438</v>
      </c>
    </row>
    <row r="257" spans="2:9" x14ac:dyDescent="0.2">
      <c r="B257" s="3">
        <v>249</v>
      </c>
      <c r="C257" s="8">
        <f t="shared" si="28"/>
        <v>53571</v>
      </c>
      <c r="D257" s="19" t="str">
        <f t="shared" si="29"/>
        <v>Sep</v>
      </c>
      <c r="E257" s="9">
        <f t="shared" si="30"/>
        <v>2046</v>
      </c>
      <c r="F257" s="60"/>
      <c r="H257" s="22">
        <f>IFERROR(IFERROR(INDEX(Gas_EIA2,1,MATCH(E257,$L$10:$AG$10,FALSE)),0)*INDEX(NG_Load_Shape,MATCH($D257,Adjustments!$H$3:$H$14,0),1),"Data Missing")</f>
        <v>3.5124207494126938</v>
      </c>
      <c r="I257" s="17">
        <f t="shared" si="32"/>
        <v>3.5124207494126938</v>
      </c>
    </row>
    <row r="258" spans="2:9" x14ac:dyDescent="0.2">
      <c r="B258" s="3">
        <v>250</v>
      </c>
      <c r="C258" s="8">
        <f t="shared" si="28"/>
        <v>53601</v>
      </c>
      <c r="D258" s="19" t="str">
        <f t="shared" si="29"/>
        <v>Oct</v>
      </c>
      <c r="E258" s="9">
        <f t="shared" si="30"/>
        <v>2046</v>
      </c>
      <c r="F258" s="60"/>
      <c r="H258" s="22">
        <f>IFERROR(IFERROR(INDEX(Gas_EIA2,1,MATCH(E258,$L$10:$AG$10,FALSE)),0)*INDEX(NG_Load_Shape,MATCH($D258,Adjustments!$H$3:$H$14,0),1),"Data Missing")</f>
        <v>3.5785162612313473</v>
      </c>
      <c r="I258" s="17">
        <f t="shared" si="32"/>
        <v>3.5785162612313473</v>
      </c>
    </row>
    <row r="259" spans="2:9" x14ac:dyDescent="0.2">
      <c r="B259" s="3">
        <v>251</v>
      </c>
      <c r="C259" s="8">
        <f t="shared" si="28"/>
        <v>53632</v>
      </c>
      <c r="D259" s="19" t="str">
        <f t="shared" si="29"/>
        <v>Nov</v>
      </c>
      <c r="E259" s="9">
        <f t="shared" si="30"/>
        <v>2046</v>
      </c>
      <c r="F259" s="60"/>
      <c r="H259" s="22">
        <f>IFERROR(IFERROR(INDEX(Gas_EIA2,1,MATCH(E259,$L$10:$AG$10,FALSE)),0)*INDEX(NG_Load_Shape,MATCH($D259,Adjustments!$H$3:$H$14,0),1),"Data Missing")</f>
        <v>4.6693601635758242</v>
      </c>
      <c r="I259" s="17">
        <f t="shared" si="32"/>
        <v>4.6693601635758242</v>
      </c>
    </row>
    <row r="260" spans="2:9" x14ac:dyDescent="0.2">
      <c r="B260" s="3">
        <v>252</v>
      </c>
      <c r="C260" s="8">
        <f t="shared" si="28"/>
        <v>53662</v>
      </c>
      <c r="D260" s="19" t="str">
        <f t="shared" si="29"/>
        <v>Dec</v>
      </c>
      <c r="E260" s="9">
        <f t="shared" si="30"/>
        <v>2046</v>
      </c>
      <c r="F260" s="60"/>
      <c r="H260" s="22">
        <f>IFERROR(IFERROR(INDEX(Gas_EIA2,1,MATCH(E260,$L$10:$AG$10,FALSE)),0)*INDEX(NG_Load_Shape,MATCH($D260,Adjustments!$H$3:$H$14,0),1),"Data Missing")</f>
        <v>7.6189890772173454</v>
      </c>
      <c r="I260" s="17">
        <f>H260</f>
        <v>7.6189890772173454</v>
      </c>
    </row>
    <row r="261" spans="2:9" x14ac:dyDescent="0.2">
      <c r="B261" s="3">
        <v>253</v>
      </c>
      <c r="C261" s="8">
        <f t="shared" si="28"/>
        <v>53693</v>
      </c>
      <c r="D261" s="19" t="str">
        <f t="shared" si="29"/>
        <v>Jan</v>
      </c>
      <c r="E261" s="9">
        <f t="shared" si="30"/>
        <v>2047</v>
      </c>
      <c r="F261" s="60"/>
      <c r="H261" s="22">
        <f>IFERROR(IFERROR(INDEX(Gas_EIA2,1,MATCH(E261,$L$10:$AG$10,FALSE)),0)*INDEX(NG_Load_Shape,MATCH($D261,Adjustments!$H$3:$H$14,0),1),"Data Missing")</f>
        <v>0</v>
      </c>
      <c r="I261" s="17">
        <f>H261</f>
        <v>0</v>
      </c>
    </row>
    <row r="262" spans="2:9" x14ac:dyDescent="0.2">
      <c r="B262" s="3">
        <v>254</v>
      </c>
      <c r="C262" s="8">
        <f t="shared" si="28"/>
        <v>53724</v>
      </c>
      <c r="D262" s="19" t="str">
        <f t="shared" si="29"/>
        <v>Feb</v>
      </c>
      <c r="E262" s="9">
        <f t="shared" si="30"/>
        <v>2047</v>
      </c>
      <c r="F262" s="60"/>
      <c r="H262" s="22">
        <f>IFERROR(IFERROR(INDEX(Gas_EIA2,1,MATCH(E262,$L$10:$AG$10,FALSE)),0)*INDEX(NG_Load_Shape,MATCH($D262,Adjustments!$H$3:$H$14,0),1),"Data Missing")</f>
        <v>0</v>
      </c>
      <c r="I262" s="17">
        <f t="shared" si="32"/>
        <v>0</v>
      </c>
    </row>
    <row r="263" spans="2:9" x14ac:dyDescent="0.2">
      <c r="B263" s="3">
        <v>255</v>
      </c>
      <c r="C263" s="8">
        <f t="shared" si="28"/>
        <v>53752</v>
      </c>
      <c r="D263" s="19" t="str">
        <f t="shared" si="29"/>
        <v>Mar</v>
      </c>
      <c r="E263" s="9">
        <f t="shared" si="30"/>
        <v>2047</v>
      </c>
      <c r="F263" s="60"/>
      <c r="H263" s="22">
        <f>IFERROR(IFERROR(INDEX(Gas_EIA2,1,MATCH(E263,$L$10:$AG$10,FALSE)),0)*INDEX(NG_Load_Shape,MATCH($D263,Adjustments!$H$3:$H$14,0),1),"Data Missing")</f>
        <v>0</v>
      </c>
      <c r="I263" s="17">
        <f t="shared" si="32"/>
        <v>0</v>
      </c>
    </row>
    <row r="264" spans="2:9" x14ac:dyDescent="0.2">
      <c r="B264" s="3">
        <v>256</v>
      </c>
      <c r="C264" s="8">
        <f t="shared" si="28"/>
        <v>53783</v>
      </c>
      <c r="D264" s="19" t="str">
        <f t="shared" si="29"/>
        <v>Apr</v>
      </c>
      <c r="E264" s="9">
        <f t="shared" si="30"/>
        <v>2047</v>
      </c>
      <c r="F264" s="60"/>
      <c r="H264" s="22">
        <f>IFERROR(IFERROR(INDEX(Gas_EIA2,1,MATCH(E264,$L$10:$AG$10,FALSE)),0)*INDEX(NG_Load_Shape,MATCH($D264,Adjustments!$H$3:$H$14,0),1),"Data Missing")</f>
        <v>0</v>
      </c>
      <c r="I264" s="17">
        <f t="shared" si="32"/>
        <v>0</v>
      </c>
    </row>
    <row r="265" spans="2:9" x14ac:dyDescent="0.2">
      <c r="B265" s="3">
        <v>257</v>
      </c>
      <c r="C265" s="8">
        <f t="shared" ref="C265:C272" si="33">DATE(Start_Year-1,B265,1)</f>
        <v>53813</v>
      </c>
      <c r="D265" s="19" t="str">
        <f t="shared" ref="D265:D272" si="34">CHOOSE(MONTH(C265), "Jan", "Feb", "Mar", "Apr", "May", "Jun", "Jul", "Aug", "Sep", "Oct", "Nov", "Dec")</f>
        <v>May</v>
      </c>
      <c r="E265" s="9">
        <f t="shared" si="30"/>
        <v>2047</v>
      </c>
      <c r="F265" s="60"/>
      <c r="H265" s="22">
        <f>IFERROR(IFERROR(INDEX(Gas_EIA2,1,MATCH(E265,$L$10:$AG$10,FALSE)),0)*INDEX(NG_Load_Shape,MATCH($D265,Adjustments!$H$3:$H$14,0),1),"Data Missing")</f>
        <v>0</v>
      </c>
      <c r="I265" s="17">
        <f t="shared" si="32"/>
        <v>0</v>
      </c>
    </row>
    <row r="266" spans="2:9" x14ac:dyDescent="0.2">
      <c r="B266" s="3">
        <v>258</v>
      </c>
      <c r="C266" s="8">
        <f t="shared" si="33"/>
        <v>53844</v>
      </c>
      <c r="D266" s="19" t="str">
        <f t="shared" si="34"/>
        <v>Jun</v>
      </c>
      <c r="E266" s="9">
        <f t="shared" ref="E266:E272" si="35">YEAR(C266)</f>
        <v>2047</v>
      </c>
      <c r="F266" s="60"/>
      <c r="H266" s="22">
        <f>IFERROR(IFERROR(INDEX(Gas_EIA2,1,MATCH(E266,$L$10:$AG$10,FALSE)),0)*INDEX(NG_Load_Shape,MATCH($D266,Adjustments!$H$3:$H$14,0),1),"Data Missing")</f>
        <v>0</v>
      </c>
      <c r="I266" s="17">
        <f t="shared" si="32"/>
        <v>0</v>
      </c>
    </row>
    <row r="267" spans="2:9" x14ac:dyDescent="0.2">
      <c r="B267" s="3">
        <v>259</v>
      </c>
      <c r="C267" s="8">
        <f t="shared" si="33"/>
        <v>53874</v>
      </c>
      <c r="D267" s="19" t="str">
        <f t="shared" si="34"/>
        <v>Jul</v>
      </c>
      <c r="E267" s="9">
        <f t="shared" si="35"/>
        <v>2047</v>
      </c>
      <c r="F267" s="60"/>
      <c r="H267" s="22">
        <f>IFERROR(IFERROR(INDEX(Gas_EIA2,1,MATCH(E267,$L$10:$AG$10,FALSE)),0)*INDEX(NG_Load_Shape,MATCH($D267,Adjustments!$H$3:$H$14,0),1),"Data Missing")</f>
        <v>0</v>
      </c>
      <c r="I267" s="17">
        <f t="shared" si="32"/>
        <v>0</v>
      </c>
    </row>
    <row r="268" spans="2:9" x14ac:dyDescent="0.2">
      <c r="B268" s="3">
        <v>260</v>
      </c>
      <c r="C268" s="8">
        <f t="shared" si="33"/>
        <v>53905</v>
      </c>
      <c r="D268" s="19" t="str">
        <f t="shared" si="34"/>
        <v>Aug</v>
      </c>
      <c r="E268" s="9">
        <f t="shared" si="35"/>
        <v>2047</v>
      </c>
      <c r="F268" s="60"/>
      <c r="H268" s="22">
        <f>IFERROR(IFERROR(INDEX(Gas_EIA2,1,MATCH(E268,$L$10:$AG$10,FALSE)),0)*INDEX(NG_Load_Shape,MATCH($D268,Adjustments!$H$3:$H$14,0),1),"Data Missing")</f>
        <v>0</v>
      </c>
      <c r="I268" s="17">
        <f t="shared" si="32"/>
        <v>0</v>
      </c>
    </row>
    <row r="269" spans="2:9" x14ac:dyDescent="0.2">
      <c r="B269" s="3">
        <v>261</v>
      </c>
      <c r="C269" s="8">
        <f t="shared" si="33"/>
        <v>53936</v>
      </c>
      <c r="D269" s="19" t="str">
        <f t="shared" si="34"/>
        <v>Sep</v>
      </c>
      <c r="E269" s="9">
        <f t="shared" si="35"/>
        <v>2047</v>
      </c>
      <c r="F269" s="60"/>
      <c r="H269" s="22">
        <f>IFERROR(IFERROR(INDEX(Gas_EIA2,1,MATCH(E269,$L$10:$AG$10,FALSE)),0)*INDEX(NG_Load_Shape,MATCH($D269,Adjustments!$H$3:$H$14,0),1),"Data Missing")</f>
        <v>0</v>
      </c>
      <c r="I269" s="17">
        <f t="shared" si="32"/>
        <v>0</v>
      </c>
    </row>
    <row r="270" spans="2:9" x14ac:dyDescent="0.2">
      <c r="B270" s="3">
        <v>262</v>
      </c>
      <c r="C270" s="8">
        <f t="shared" si="33"/>
        <v>53966</v>
      </c>
      <c r="D270" s="19" t="str">
        <f t="shared" si="34"/>
        <v>Oct</v>
      </c>
      <c r="E270" s="9">
        <f t="shared" si="35"/>
        <v>2047</v>
      </c>
      <c r="F270" s="60"/>
      <c r="H270" s="22">
        <f>IFERROR(IFERROR(INDEX(Gas_EIA2,1,MATCH(E270,$L$10:$AG$10,FALSE)),0)*INDEX(NG_Load_Shape,MATCH($D270,Adjustments!$H$3:$H$14,0),1),"Data Missing")</f>
        <v>0</v>
      </c>
      <c r="I270" s="17">
        <f t="shared" si="32"/>
        <v>0</v>
      </c>
    </row>
    <row r="271" spans="2:9" x14ac:dyDescent="0.2">
      <c r="B271" s="3">
        <v>263</v>
      </c>
      <c r="C271" s="8">
        <f t="shared" si="33"/>
        <v>53997</v>
      </c>
      <c r="D271" s="19" t="str">
        <f t="shared" si="34"/>
        <v>Nov</v>
      </c>
      <c r="E271" s="9">
        <f t="shared" si="35"/>
        <v>2047</v>
      </c>
      <c r="F271" s="60"/>
      <c r="H271" s="22">
        <f>IFERROR(IFERROR(INDEX(Gas_EIA2,1,MATCH(E271,$L$10:$AG$10,FALSE)),0)*INDEX(NG_Load_Shape,MATCH($D271,Adjustments!$H$3:$H$14,0),1),"Data Missing")</f>
        <v>0</v>
      </c>
      <c r="I271" s="17">
        <f t="shared" si="32"/>
        <v>0</v>
      </c>
    </row>
    <row r="272" spans="2:9" x14ac:dyDescent="0.2">
      <c r="B272" s="3">
        <v>264</v>
      </c>
      <c r="C272" s="8">
        <f t="shared" si="33"/>
        <v>54027</v>
      </c>
      <c r="D272" s="19" t="str">
        <f t="shared" si="34"/>
        <v>Dec</v>
      </c>
      <c r="E272" s="9">
        <f t="shared" si="35"/>
        <v>2047</v>
      </c>
      <c r="F272" s="60"/>
      <c r="H272" s="22">
        <f>IFERROR(IFERROR(INDEX(Gas_EIA2,1,MATCH(E272,$L$10:$AG$10,FALSE)),0)*INDEX(NG_Load_Shape,MATCH($D272,Adjustments!$H$3:$H$14,0),1),"Data Missing")</f>
        <v>0</v>
      </c>
      <c r="I272" s="17">
        <f t="shared" si="32"/>
        <v>0</v>
      </c>
    </row>
    <row r="276" spans="6:9" x14ac:dyDescent="0.2">
      <c r="F276" s="50"/>
      <c r="G276" s="50"/>
      <c r="H276" s="50"/>
      <c r="I276" s="50"/>
    </row>
    <row r="277" spans="6:9" x14ac:dyDescent="0.2">
      <c r="F277" s="50"/>
      <c r="G277" s="50"/>
      <c r="H277" s="50"/>
      <c r="I277" s="50"/>
    </row>
    <row r="278" spans="6:9" x14ac:dyDescent="0.2">
      <c r="F278" s="50"/>
      <c r="G278" s="50"/>
      <c r="H278" s="50"/>
      <c r="I278" s="50"/>
    </row>
    <row r="279" spans="6:9" x14ac:dyDescent="0.2">
      <c r="F279" s="50"/>
      <c r="G279" s="50"/>
      <c r="H279" s="50"/>
      <c r="I279" s="50"/>
    </row>
    <row r="280" spans="6:9" x14ac:dyDescent="0.2">
      <c r="F280" s="50"/>
      <c r="G280" s="50"/>
      <c r="H280" s="50"/>
      <c r="I280" s="50"/>
    </row>
    <row r="281" spans="6:9" x14ac:dyDescent="0.2">
      <c r="F281" s="50"/>
      <c r="G281" s="50"/>
      <c r="H281" s="50"/>
      <c r="I281" s="50"/>
    </row>
    <row r="282" spans="6:9" x14ac:dyDescent="0.2">
      <c r="F282" s="50"/>
      <c r="G282" s="50"/>
      <c r="H282" s="50"/>
      <c r="I282" s="50"/>
    </row>
    <row r="283" spans="6:9" x14ac:dyDescent="0.2">
      <c r="F283" s="50"/>
      <c r="G283" s="50"/>
      <c r="H283" s="50"/>
      <c r="I283" s="50"/>
    </row>
    <row r="284" spans="6:9" x14ac:dyDescent="0.2">
      <c r="F284" s="50"/>
      <c r="G284" s="50"/>
      <c r="H284" s="50"/>
      <c r="I284" s="50"/>
    </row>
    <row r="285" spans="6:9" x14ac:dyDescent="0.2">
      <c r="F285" s="50"/>
      <c r="G285" s="50"/>
      <c r="H285" s="50"/>
      <c r="I285" s="50"/>
    </row>
    <row r="286" spans="6:9" x14ac:dyDescent="0.2">
      <c r="F286" s="50"/>
      <c r="G286" s="50"/>
      <c r="H286" s="50"/>
      <c r="I286" s="50"/>
    </row>
    <row r="287" spans="6:9" x14ac:dyDescent="0.2">
      <c r="F287" s="50"/>
      <c r="G287" s="50"/>
      <c r="H287" s="50"/>
      <c r="I287" s="50"/>
    </row>
    <row r="288" spans="6:9" x14ac:dyDescent="0.2">
      <c r="F288" s="50"/>
      <c r="G288" s="50"/>
      <c r="H288" s="50"/>
      <c r="I288" s="50"/>
    </row>
    <row r="289" spans="6:9" x14ac:dyDescent="0.2">
      <c r="F289" s="50"/>
      <c r="G289" s="50"/>
      <c r="H289" s="50"/>
      <c r="I289" s="50"/>
    </row>
    <row r="290" spans="6:9" x14ac:dyDescent="0.2">
      <c r="F290" s="50"/>
      <c r="G290" s="50"/>
      <c r="H290" s="50"/>
      <c r="I290" s="50"/>
    </row>
    <row r="291" spans="6:9" x14ac:dyDescent="0.2">
      <c r="F291" s="50"/>
      <c r="G291" s="50"/>
      <c r="H291" s="50"/>
      <c r="I291" s="50"/>
    </row>
    <row r="292" spans="6:9" x14ac:dyDescent="0.2">
      <c r="F292" s="50"/>
      <c r="G292" s="50"/>
      <c r="H292" s="50"/>
      <c r="I292" s="50"/>
    </row>
    <row r="293" spans="6:9" x14ac:dyDescent="0.2">
      <c r="F293" s="50"/>
      <c r="G293" s="50"/>
      <c r="H293" s="50"/>
      <c r="I293" s="50"/>
    </row>
    <row r="294" spans="6:9" x14ac:dyDescent="0.2">
      <c r="F294" s="50"/>
      <c r="G294" s="50"/>
      <c r="H294" s="50"/>
      <c r="I294" s="50"/>
    </row>
    <row r="295" spans="6:9" x14ac:dyDescent="0.2">
      <c r="F295" s="50"/>
      <c r="G295" s="50"/>
      <c r="H295" s="50"/>
      <c r="I295" s="50"/>
    </row>
    <row r="296" spans="6:9" x14ac:dyDescent="0.2">
      <c r="F296" s="50"/>
      <c r="G296" s="50"/>
      <c r="H296" s="50"/>
      <c r="I296" s="50"/>
    </row>
    <row r="297" spans="6:9" x14ac:dyDescent="0.2">
      <c r="F297" s="50"/>
      <c r="G297" s="50"/>
      <c r="H297" s="50"/>
      <c r="I297" s="50"/>
    </row>
    <row r="298" spans="6:9" x14ac:dyDescent="0.2">
      <c r="F298" s="50"/>
      <c r="G298" s="50"/>
      <c r="H298" s="50"/>
      <c r="I298" s="50"/>
    </row>
    <row r="299" spans="6:9" x14ac:dyDescent="0.2">
      <c r="F299" s="50"/>
      <c r="G299" s="50"/>
      <c r="H299" s="50"/>
      <c r="I299" s="50"/>
    </row>
  </sheetData>
  <mergeCells count="1">
    <mergeCell ref="L8:AF8"/>
  </mergeCells>
  <conditionalFormatting sqref="B4">
    <cfRule type="expression" dxfId="3" priority="2">
      <formula>$B$4="Complete"</formula>
    </cfRule>
  </conditionalFormatting>
  <conditionalFormatting sqref="B5">
    <cfRule type="expression" dxfId="2" priority="1">
      <formula>$B$5="Complete"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9" tint="0.79998168889431442"/>
  </sheetPr>
  <dimension ref="A1:AZ330"/>
  <sheetViews>
    <sheetView zoomScale="90" zoomScaleNormal="90" workbookViewId="0">
      <pane xSplit="1" ySplit="2" topLeftCell="C68" activePane="bottomRight" state="frozen"/>
      <selection pane="topRight" activeCell="B1" sqref="B1"/>
      <selection pane="bottomLeft" activeCell="A3" sqref="A3"/>
      <selection pane="bottomRight" activeCell="E13" sqref="E13"/>
    </sheetView>
  </sheetViews>
  <sheetFormatPr defaultColWidth="9.140625" defaultRowHeight="15" x14ac:dyDescent="0.25"/>
  <cols>
    <col min="1" max="1" width="7.140625" style="13" customWidth="1"/>
    <col min="2" max="2" width="12.85546875" style="13" customWidth="1"/>
    <col min="3" max="3" width="13.42578125" style="13" customWidth="1"/>
    <col min="4" max="4" width="13.85546875" style="13" customWidth="1"/>
    <col min="5" max="5" width="12.85546875" style="13" customWidth="1"/>
    <col min="6" max="7" width="12.85546875" style="21" customWidth="1"/>
    <col min="8" max="8" width="3.140625" style="128" customWidth="1"/>
    <col min="9" max="10" width="12.85546875" style="21" customWidth="1"/>
    <col min="11" max="11" width="3.140625" style="128" customWidth="1"/>
    <col min="12" max="13" width="12.85546875" style="21" customWidth="1"/>
    <col min="14" max="14" width="3.140625" style="128" customWidth="1"/>
    <col min="15" max="16" width="12.85546875" style="21" customWidth="1"/>
    <col min="17" max="52" width="9.140625" style="127"/>
    <col min="53" max="16384" width="9.140625" style="13"/>
  </cols>
  <sheetData>
    <row r="1" spans="1:16" s="127" customFormat="1" x14ac:dyDescent="0.25">
      <c r="F1" s="128"/>
      <c r="G1" s="128"/>
      <c r="H1" s="128"/>
      <c r="I1" s="128"/>
      <c r="J1" s="128"/>
      <c r="K1" s="128"/>
      <c r="L1" s="128"/>
      <c r="M1" s="128"/>
      <c r="N1" s="128"/>
      <c r="O1" s="128"/>
      <c r="P1" s="128"/>
    </row>
    <row r="2" spans="1:16" ht="63.75" x14ac:dyDescent="0.25">
      <c r="A2" s="283" t="s">
        <v>135</v>
      </c>
      <c r="B2" s="283" t="s">
        <v>136</v>
      </c>
      <c r="C2" s="279" t="s">
        <v>137</v>
      </c>
      <c r="D2" s="279" t="s">
        <v>120</v>
      </c>
      <c r="E2" s="279" t="s">
        <v>157</v>
      </c>
      <c r="F2" s="20" t="str">
        <f>EDC_NAME&amp;" Zone Adjusted On-Peak (Nominal $/MWh)"</f>
        <v>West Penn Zone Adjusted On-Peak (Nominal $/MWh)</v>
      </c>
      <c r="G2" s="20" t="str">
        <f>EDC_NAME&amp;" Zone Adjusted Off-Peak (Nominal $/MWh)"</f>
        <v>West Penn Zone Adjusted Off-Peak (Nominal $/MWh)</v>
      </c>
      <c r="H2" s="129"/>
      <c r="I2" s="20" t="str">
        <f>EDC_NAME&amp;" Zone NG Converted On-Peak (Nominal $/MWh)"</f>
        <v>West Penn Zone NG Converted On-Peak (Nominal $/MWh)</v>
      </c>
      <c r="J2" s="20" t="str">
        <f>EDC_NAME&amp;" Zone NG Converted Off-Peak (Nominal $/MWh)"</f>
        <v>West Penn Zone NG Converted Off-Peak (Nominal $/MWh)</v>
      </c>
      <c r="L2" s="20" t="str">
        <f>EDC_NAME&amp;" Zone Spark Spread On-Peak (Nominal $/MWh)"</f>
        <v>West Penn Zone Spark Spread On-Peak (Nominal $/MWh)</v>
      </c>
      <c r="M2" s="20" t="str">
        <f>EDC_NAME&amp;" Zone Spark Spread Off-Peak (Nominal $/MWh)"</f>
        <v>West Penn Zone Spark Spread Off-Peak (Nominal $/MWh)</v>
      </c>
      <c r="O2" s="20" t="str">
        <f>EDC_NAME&amp;" Zone  On-Peak (Nominal $/MWh)"</f>
        <v>West Penn Zone  On-Peak (Nominal $/MWh)</v>
      </c>
      <c r="P2" s="20" t="str">
        <f>EDC_NAME&amp;" Zone  Off-Peak (Nominal $/MWh)"</f>
        <v>West Penn Zone  Off-Peak (Nominal $/MWh)</v>
      </c>
    </row>
    <row r="3" spans="1:16" x14ac:dyDescent="0.25">
      <c r="A3" s="3">
        <v>1</v>
      </c>
      <c r="B3" s="19">
        <f t="shared" ref="B3:B66" si="0">DATE(Start_Year-1,A3,1)</f>
        <v>46023</v>
      </c>
      <c r="C3" s="9" t="str">
        <f>CHOOSE(MONTH(B3), "Jan", "Feb", "Mar", "Apr", "May", "Jun", "Jul", "Aug", "Sep", "Oct", "Nov", "Dec")</f>
        <v>Jan</v>
      </c>
      <c r="D3" s="9">
        <f>YEAR(B3)</f>
        <v>2026</v>
      </c>
      <c r="E3" s="9" t="str">
        <f>INDEX(Seasons,MATCH($C3,'General Inputs'!$B$20:$B$31,0),1)</f>
        <v>Winter</v>
      </c>
      <c r="F3" s="22">
        <f>'Elec Futures'!H3</f>
        <v>73.756927312000798</v>
      </c>
      <c r="G3" s="22">
        <f>'Elec Futures'!I3</f>
        <v>58.354207866579593</v>
      </c>
      <c r="H3" s="130"/>
      <c r="I3" s="22">
        <f>IFERROR('NG Futures'!$I9*HR_Low_Plant/1000,"Data Missing")</f>
        <v>74.190537499999991</v>
      </c>
      <c r="J3" s="22">
        <f>IFERROR('NG Futures'!$I9*HR_High_Plant/1000,"Data Missing")</f>
        <v>51.092594999999996</v>
      </c>
      <c r="K3" s="130"/>
      <c r="L3" s="22">
        <f>IFERROR(F3-I3,"Data Missing")</f>
        <v>-0.43361018799919293</v>
      </c>
      <c r="M3" s="22">
        <f>IFERROR(G3-J3,"Data Missing")</f>
        <v>7.2616128665795969</v>
      </c>
      <c r="N3" s="130"/>
      <c r="O3" s="23">
        <f>F3</f>
        <v>73.756927312000798</v>
      </c>
      <c r="P3" s="23">
        <f t="shared" ref="P3" si="1">G3</f>
        <v>58.354207866579593</v>
      </c>
    </row>
    <row r="4" spans="1:16" x14ac:dyDescent="0.25">
      <c r="A4" s="3">
        <v>2</v>
      </c>
      <c r="B4" s="19">
        <f t="shared" si="0"/>
        <v>46054</v>
      </c>
      <c r="C4" s="9" t="str">
        <f t="shared" ref="C4:C67" si="2">CHOOSE(MONTH(B4), "Jan", "Feb", "Mar", "Apr", "May", "Jun", "Jul", "Aug", "Sep", "Oct", "Nov", "Dec")</f>
        <v>Feb</v>
      </c>
      <c r="D4" s="9">
        <f t="shared" ref="D4:D67" si="3">YEAR(B4)</f>
        <v>2026</v>
      </c>
      <c r="E4" s="9" t="str">
        <f>INDEX(Seasons,MATCH($C4,'General Inputs'!$B$20:$B$31,0),1)</f>
        <v>Winter</v>
      </c>
      <c r="F4" s="22">
        <f>'Elec Futures'!H4</f>
        <v>57.372845280554571</v>
      </c>
      <c r="G4" s="22">
        <f>'Elec Futures'!I4</f>
        <v>46.88732355452855</v>
      </c>
      <c r="H4" s="131"/>
      <c r="I4" s="22">
        <f>IFERROR('NG Futures'!$I10*HR_Low_Plant/1000,"Data Missing")</f>
        <v>65.843585000000004</v>
      </c>
      <c r="J4" s="22">
        <f>IFERROR('NG Futures'!$I10*HR_High_Plant/1000,"Data Missing")</f>
        <v>45.344321999999998</v>
      </c>
      <c r="K4" s="131"/>
      <c r="L4" s="22">
        <f t="shared" ref="L4:L62" si="4">IFERROR(F4-I4,"Data Missing")</f>
        <v>-8.470739719445433</v>
      </c>
      <c r="M4" s="22">
        <f t="shared" ref="M4:M62" si="5">IFERROR(G4-J4,"Data Missing")</f>
        <v>1.5430015545285514</v>
      </c>
      <c r="N4" s="131"/>
      <c r="O4" s="23">
        <f t="shared" ref="O4:O61" si="6">F4</f>
        <v>57.372845280554571</v>
      </c>
      <c r="P4" s="23">
        <f t="shared" ref="P4:P61" si="7">G4</f>
        <v>46.88732355452855</v>
      </c>
    </row>
    <row r="5" spans="1:16" x14ac:dyDescent="0.25">
      <c r="A5" s="3">
        <v>3</v>
      </c>
      <c r="B5" s="19">
        <f t="shared" si="0"/>
        <v>46082</v>
      </c>
      <c r="C5" s="9" t="str">
        <f t="shared" si="2"/>
        <v>Mar</v>
      </c>
      <c r="D5" s="9">
        <f t="shared" si="3"/>
        <v>2026</v>
      </c>
      <c r="E5" s="9" t="str">
        <f>INDEX(Seasons,MATCH($C5,'General Inputs'!$B$20:$B$31,0),1)</f>
        <v>Shoulder</v>
      </c>
      <c r="F5" s="22">
        <f>'Elec Futures'!H5</f>
        <v>50.295611392977342</v>
      </c>
      <c r="G5" s="22">
        <f>'Elec Futures'!I5</f>
        <v>43.244339478575377</v>
      </c>
      <c r="H5" s="131"/>
      <c r="I5" s="22">
        <f>IFERROR('NG Futures'!$I11*HR_Low_Plant/1000,"Data Missing")</f>
        <v>36.718869999999995</v>
      </c>
      <c r="J5" s="22">
        <f>IFERROR('NG Futures'!$I11*HR_High_Plant/1000,"Data Missing")</f>
        <v>25.287084</v>
      </c>
      <c r="K5" s="131"/>
      <c r="L5" s="22">
        <f t="shared" si="4"/>
        <v>13.576741392977347</v>
      </c>
      <c r="M5" s="22">
        <f t="shared" si="5"/>
        <v>17.957255478575377</v>
      </c>
      <c r="N5" s="131"/>
      <c r="O5" s="23">
        <f t="shared" si="6"/>
        <v>50.295611392977342</v>
      </c>
      <c r="P5" s="23">
        <f t="shared" si="7"/>
        <v>43.244339478575377</v>
      </c>
    </row>
    <row r="6" spans="1:16" x14ac:dyDescent="0.25">
      <c r="A6" s="3">
        <v>4</v>
      </c>
      <c r="B6" s="19">
        <f t="shared" si="0"/>
        <v>46113</v>
      </c>
      <c r="C6" s="9" t="str">
        <f t="shared" si="2"/>
        <v>Apr</v>
      </c>
      <c r="D6" s="9">
        <f t="shared" si="3"/>
        <v>2026</v>
      </c>
      <c r="E6" s="9" t="str">
        <f>INDEX(Seasons,MATCH($C6,'General Inputs'!$B$20:$B$31,0),1)</f>
        <v>Shoulder</v>
      </c>
      <c r="F6" s="22">
        <f>'Elec Futures'!H6</f>
        <v>50.368304917868088</v>
      </c>
      <c r="G6" s="22">
        <f>'Elec Futures'!I6</f>
        <v>42.666945195157474</v>
      </c>
      <c r="H6" s="131"/>
      <c r="I6" s="22">
        <f>IFERROR('NG Futures'!$I12*HR_Low_Plant/1000,"Data Missing")</f>
        <v>33.398840000000007</v>
      </c>
      <c r="J6" s="22">
        <f>IFERROR('NG Futures'!$I12*HR_High_Plant/1000,"Data Missing")</f>
        <v>23.000688</v>
      </c>
      <c r="K6" s="131"/>
      <c r="L6" s="22">
        <f t="shared" si="4"/>
        <v>16.969464917868081</v>
      </c>
      <c r="M6" s="22">
        <f t="shared" si="5"/>
        <v>19.666257195157474</v>
      </c>
      <c r="N6" s="131"/>
      <c r="O6" s="23">
        <f t="shared" si="6"/>
        <v>50.368304917868088</v>
      </c>
      <c r="P6" s="23">
        <f t="shared" si="7"/>
        <v>42.666945195157474</v>
      </c>
    </row>
    <row r="7" spans="1:16" x14ac:dyDescent="0.25">
      <c r="A7" s="3">
        <v>5</v>
      </c>
      <c r="B7" s="19">
        <f t="shared" si="0"/>
        <v>46143</v>
      </c>
      <c r="C7" s="9" t="str">
        <f t="shared" si="2"/>
        <v>May</v>
      </c>
      <c r="D7" s="9">
        <f t="shared" si="3"/>
        <v>2026</v>
      </c>
      <c r="E7" s="9" t="str">
        <f>INDEX(Seasons,MATCH($C7,'General Inputs'!$B$20:$B$31,0),1)</f>
        <v>Summer</v>
      </c>
      <c r="F7" s="22">
        <f>'Elec Futures'!H7</f>
        <v>46.819822424272864</v>
      </c>
      <c r="G7" s="22">
        <f>'Elec Futures'!I7</f>
        <v>27.698309941226704</v>
      </c>
      <c r="H7" s="131"/>
      <c r="I7" s="22">
        <f>IFERROR('NG Futures'!$I13*HR_Low_Plant/1000,"Data Missing")</f>
        <v>30.43177</v>
      </c>
      <c r="J7" s="22">
        <f>IFERROR('NG Futures'!$I13*HR_High_Plant/1000,"Data Missing")</f>
        <v>20.957363999999998</v>
      </c>
      <c r="K7" s="131"/>
      <c r="L7" s="22">
        <f t="shared" si="4"/>
        <v>16.388052424272864</v>
      </c>
      <c r="M7" s="22">
        <f t="shared" si="5"/>
        <v>6.7409459412267054</v>
      </c>
      <c r="N7" s="131"/>
      <c r="O7" s="23">
        <f t="shared" si="6"/>
        <v>46.819822424272864</v>
      </c>
      <c r="P7" s="23">
        <f t="shared" si="7"/>
        <v>27.698309941226704</v>
      </c>
    </row>
    <row r="8" spans="1:16" x14ac:dyDescent="0.25">
      <c r="A8" s="3">
        <v>6</v>
      </c>
      <c r="B8" s="19">
        <f t="shared" si="0"/>
        <v>46174</v>
      </c>
      <c r="C8" s="9" t="str">
        <f t="shared" si="2"/>
        <v>Jun</v>
      </c>
      <c r="D8" s="9">
        <f t="shared" si="3"/>
        <v>2026</v>
      </c>
      <c r="E8" s="9" t="str">
        <f>INDEX(Seasons,MATCH($C8,'General Inputs'!$B$20:$B$31,0),1)</f>
        <v>Summer</v>
      </c>
      <c r="F8" s="22">
        <f>'Elec Futures'!H8</f>
        <v>84.252833827296925</v>
      </c>
      <c r="G8" s="22">
        <f>'Elec Futures'!I8</f>
        <v>35.279206108404075</v>
      </c>
      <c r="H8" s="131"/>
      <c r="I8" s="22">
        <f>IFERROR('NG Futures'!$I14*HR_Low_Plant/1000,"Data Missing")</f>
        <v>31.008087500000002</v>
      </c>
      <c r="J8" s="22">
        <f>IFERROR('NG Futures'!$I14*HR_High_Plant/1000,"Data Missing")</f>
        <v>21.354255000000002</v>
      </c>
      <c r="K8" s="131"/>
      <c r="L8" s="22">
        <f t="shared" si="4"/>
        <v>53.244746327296923</v>
      </c>
      <c r="M8" s="22">
        <f t="shared" si="5"/>
        <v>13.924951108404073</v>
      </c>
      <c r="N8" s="131"/>
      <c r="O8" s="23">
        <f t="shared" si="6"/>
        <v>84.252833827296925</v>
      </c>
      <c r="P8" s="23">
        <f t="shared" si="7"/>
        <v>35.279206108404075</v>
      </c>
    </row>
    <row r="9" spans="1:16" x14ac:dyDescent="0.25">
      <c r="A9" s="3">
        <v>7</v>
      </c>
      <c r="B9" s="19">
        <f t="shared" si="0"/>
        <v>46204</v>
      </c>
      <c r="C9" s="9" t="str">
        <f t="shared" si="2"/>
        <v>Jul</v>
      </c>
      <c r="D9" s="9">
        <f t="shared" si="3"/>
        <v>2026</v>
      </c>
      <c r="E9" s="9" t="str">
        <f>INDEX(Seasons,MATCH($C9,'General Inputs'!$B$20:$B$31,0),1)</f>
        <v>Summer</v>
      </c>
      <c r="F9" s="22">
        <f>'Elec Futures'!H9</f>
        <v>79.873568192093231</v>
      </c>
      <c r="G9" s="22">
        <f>'Elec Futures'!I9</f>
        <v>38.903497563671067</v>
      </c>
      <c r="H9" s="131"/>
      <c r="I9" s="22">
        <f>IFERROR('NG Futures'!$I15*HR_Low_Plant/1000,"Data Missing")</f>
        <v>32.643285000000006</v>
      </c>
      <c r="J9" s="22">
        <f>IFERROR('NG Futures'!$I15*HR_High_Plant/1000,"Data Missing")</f>
        <v>22.480362</v>
      </c>
      <c r="K9" s="131"/>
      <c r="L9" s="22">
        <f t="shared" si="4"/>
        <v>47.230283192093225</v>
      </c>
      <c r="M9" s="22">
        <f t="shared" si="5"/>
        <v>16.423135563671067</v>
      </c>
      <c r="N9" s="131"/>
      <c r="O9" s="23">
        <f t="shared" si="6"/>
        <v>79.873568192093231</v>
      </c>
      <c r="P9" s="23">
        <f t="shared" si="7"/>
        <v>38.903497563671067</v>
      </c>
    </row>
    <row r="10" spans="1:16" x14ac:dyDescent="0.25">
      <c r="A10" s="3">
        <v>8</v>
      </c>
      <c r="B10" s="19">
        <f t="shared" si="0"/>
        <v>46235</v>
      </c>
      <c r="C10" s="9" t="str">
        <f t="shared" si="2"/>
        <v>Aug</v>
      </c>
      <c r="D10" s="9">
        <f t="shared" si="3"/>
        <v>2026</v>
      </c>
      <c r="E10" s="9" t="str">
        <f>INDEX(Seasons,MATCH($C10,'General Inputs'!$B$20:$B$31,0),1)</f>
        <v>Summer</v>
      </c>
      <c r="F10" s="22">
        <f>'Elec Futures'!H10</f>
        <v>53.016426181745111</v>
      </c>
      <c r="G10" s="22">
        <f>'Elec Futures'!I10</f>
        <v>31.610260059275628</v>
      </c>
      <c r="H10" s="131"/>
      <c r="I10" s="22">
        <f>IFERROR('NG Futures'!$I16*HR_Low_Plant/1000,"Data Missing")</f>
        <v>33.054152500000001</v>
      </c>
      <c r="J10" s="22">
        <f>IFERROR('NG Futures'!$I16*HR_High_Plant/1000,"Data Missing")</f>
        <v>22.763313000000004</v>
      </c>
      <c r="K10" s="131"/>
      <c r="L10" s="22">
        <f t="shared" si="4"/>
        <v>19.96227368174511</v>
      </c>
      <c r="M10" s="22">
        <f t="shared" si="5"/>
        <v>8.8469470592756245</v>
      </c>
      <c r="N10" s="131"/>
      <c r="O10" s="23">
        <f t="shared" si="6"/>
        <v>53.016426181745111</v>
      </c>
      <c r="P10" s="23">
        <f t="shared" si="7"/>
        <v>31.610260059275628</v>
      </c>
    </row>
    <row r="11" spans="1:16" x14ac:dyDescent="0.25">
      <c r="A11" s="3">
        <v>9</v>
      </c>
      <c r="B11" s="19">
        <f t="shared" si="0"/>
        <v>46266</v>
      </c>
      <c r="C11" s="9" t="str">
        <f t="shared" si="2"/>
        <v>Sep</v>
      </c>
      <c r="D11" s="9">
        <f t="shared" si="3"/>
        <v>2026</v>
      </c>
      <c r="E11" s="9" t="str">
        <f>INDEX(Seasons,MATCH($C11,'General Inputs'!$B$20:$B$31,0),1)</f>
        <v>Summer</v>
      </c>
      <c r="F11" s="22">
        <f>'Elec Futures'!H11</f>
        <v>49.898912442859285</v>
      </c>
      <c r="G11" s="22">
        <f>'Elec Futures'!I11</f>
        <v>30.219736776008439</v>
      </c>
      <c r="H11" s="131"/>
      <c r="I11" s="22">
        <f>IFERROR('NG Futures'!$I17*HR_Low_Plant/1000,"Data Missing")</f>
        <v>28.537367500000006</v>
      </c>
      <c r="J11" s="22">
        <f>IFERROR('NG Futures'!$I17*HR_High_Plant/1000,"Data Missing")</f>
        <v>19.652751000000002</v>
      </c>
      <c r="K11" s="131"/>
      <c r="L11" s="22">
        <f t="shared" si="4"/>
        <v>21.361544942859279</v>
      </c>
      <c r="M11" s="22">
        <f t="shared" si="5"/>
        <v>10.566985776008437</v>
      </c>
      <c r="N11" s="131"/>
      <c r="O11" s="23">
        <f t="shared" si="6"/>
        <v>49.898912442859285</v>
      </c>
      <c r="P11" s="23">
        <f t="shared" si="7"/>
        <v>30.219736776008439</v>
      </c>
    </row>
    <row r="12" spans="1:16" x14ac:dyDescent="0.25">
      <c r="A12" s="3">
        <v>10</v>
      </c>
      <c r="B12" s="19">
        <f t="shared" si="0"/>
        <v>46296</v>
      </c>
      <c r="C12" s="9" t="str">
        <f t="shared" si="2"/>
        <v>Oct</v>
      </c>
      <c r="D12" s="9">
        <f t="shared" si="3"/>
        <v>2026</v>
      </c>
      <c r="E12" s="9" t="str">
        <f>INDEX(Seasons,MATCH($C12,'General Inputs'!$B$20:$B$31,0),1)</f>
        <v>Shoulder</v>
      </c>
      <c r="F12" s="22">
        <f>'Elec Futures'!H12</f>
        <v>49.535444818405587</v>
      </c>
      <c r="G12" s="22">
        <f>'Elec Futures'!I12</f>
        <v>33.854413020545536</v>
      </c>
      <c r="H12" s="131"/>
      <c r="I12" s="22">
        <f>IFERROR('NG Futures'!$I18*HR_Low_Plant/1000,"Data Missing")</f>
        <v>28.777270000000001</v>
      </c>
      <c r="J12" s="22">
        <f>IFERROR('NG Futures'!$I18*HR_High_Plant/1000,"Data Missing")</f>
        <v>19.817964</v>
      </c>
      <c r="K12" s="131"/>
      <c r="L12" s="22">
        <f t="shared" si="4"/>
        <v>20.758174818405585</v>
      </c>
      <c r="M12" s="22">
        <f t="shared" si="5"/>
        <v>14.036449020545536</v>
      </c>
      <c r="N12" s="131"/>
      <c r="O12" s="23">
        <f t="shared" si="6"/>
        <v>49.535444818405587</v>
      </c>
      <c r="P12" s="23">
        <f t="shared" si="7"/>
        <v>33.854413020545536</v>
      </c>
    </row>
    <row r="13" spans="1:16" x14ac:dyDescent="0.25">
      <c r="A13" s="3">
        <v>11</v>
      </c>
      <c r="B13" s="19">
        <f t="shared" si="0"/>
        <v>46327</v>
      </c>
      <c r="C13" s="9" t="str">
        <f t="shared" si="2"/>
        <v>Nov</v>
      </c>
      <c r="D13" s="9">
        <f t="shared" si="3"/>
        <v>2026</v>
      </c>
      <c r="E13" s="9" t="str">
        <f>INDEX(Seasons,MATCH($C13,'General Inputs'!$B$20:$B$31,0),1)</f>
        <v>Shoulder</v>
      </c>
      <c r="F13" s="22">
        <f>'Elec Futures'!H13</f>
        <v>49.535444818405587</v>
      </c>
      <c r="G13" s="22">
        <f>'Elec Futures'!I13</f>
        <v>38.423720299392173</v>
      </c>
      <c r="H13" s="131"/>
      <c r="I13" s="22">
        <f>IFERROR('NG Futures'!$I19*HR_Low_Plant/1000,"Data Missing")</f>
        <v>36.765747500000003</v>
      </c>
      <c r="J13" s="22">
        <f>IFERROR('NG Futures'!$I19*HR_High_Plant/1000,"Data Missing")</f>
        <v>25.319367000000003</v>
      </c>
      <c r="K13" s="131"/>
      <c r="L13" s="22">
        <f t="shared" si="4"/>
        <v>12.769697318405584</v>
      </c>
      <c r="M13" s="22">
        <f t="shared" si="5"/>
        <v>13.104353299392169</v>
      </c>
      <c r="N13" s="131"/>
      <c r="O13" s="23">
        <f t="shared" si="6"/>
        <v>49.535444818405587</v>
      </c>
      <c r="P13" s="23">
        <f t="shared" si="7"/>
        <v>38.423720299392173</v>
      </c>
    </row>
    <row r="14" spans="1:16" x14ac:dyDescent="0.25">
      <c r="A14" s="3">
        <v>12</v>
      </c>
      <c r="B14" s="19">
        <f t="shared" si="0"/>
        <v>46357</v>
      </c>
      <c r="C14" s="9" t="str">
        <f t="shared" si="2"/>
        <v>Dec</v>
      </c>
      <c r="D14" s="9">
        <f t="shared" si="3"/>
        <v>2026</v>
      </c>
      <c r="E14" s="9" t="str">
        <f>INDEX(Seasons,MATCH($C14,'General Inputs'!$B$20:$B$31,0),1)</f>
        <v>Winter</v>
      </c>
      <c r="F14" s="22">
        <f>'Elec Futures'!H14</f>
        <v>58.310591751645141</v>
      </c>
      <c r="G14" s="22">
        <f>'Elec Futures'!I14</f>
        <v>47.977726427889685</v>
      </c>
      <c r="H14" s="131"/>
      <c r="I14" s="22">
        <f>IFERROR('NG Futures'!$I20*HR_Low_Plant/1000,"Data Missing")</f>
        <v>57.744807500000007</v>
      </c>
      <c r="J14" s="22">
        <f>IFERROR('NG Futures'!$I20*HR_High_Plant/1000,"Data Missing")</f>
        <v>39.766959</v>
      </c>
      <c r="K14" s="131"/>
      <c r="L14" s="22">
        <f t="shared" si="4"/>
        <v>0.56578425164513391</v>
      </c>
      <c r="M14" s="22">
        <f t="shared" si="5"/>
        <v>8.2107674278896852</v>
      </c>
      <c r="N14" s="131"/>
      <c r="O14" s="23">
        <f t="shared" si="6"/>
        <v>58.310591751645141</v>
      </c>
      <c r="P14" s="23">
        <f t="shared" si="7"/>
        <v>47.977726427889685</v>
      </c>
    </row>
    <row r="15" spans="1:16" x14ac:dyDescent="0.25">
      <c r="A15" s="3">
        <v>13</v>
      </c>
      <c r="B15" s="19">
        <f t="shared" si="0"/>
        <v>46388</v>
      </c>
      <c r="C15" s="9" t="str">
        <f t="shared" si="2"/>
        <v>Jan</v>
      </c>
      <c r="D15" s="9">
        <f t="shared" si="3"/>
        <v>2027</v>
      </c>
      <c r="E15" s="9" t="str">
        <f>INDEX(Seasons,MATCH($C15,'General Inputs'!$B$20:$B$31,0),1)</f>
        <v>Winter</v>
      </c>
      <c r="F15" s="22">
        <f>'Elec Futures'!H15</f>
        <v>81.98791128748681</v>
      </c>
      <c r="G15" s="22">
        <f>'Elec Futures'!I15</f>
        <v>67.656902094740545</v>
      </c>
      <c r="H15" s="131"/>
      <c r="I15" s="22">
        <f>IFERROR('NG Futures'!$I21*HR_Low_Plant/1000,"Data Missing")</f>
        <v>80.753387500000002</v>
      </c>
      <c r="J15" s="22">
        <f>IFERROR('NG Futures'!$I21*HR_High_Plant/1000,"Data Missing")</f>
        <v>55.612214999999999</v>
      </c>
      <c r="K15" s="131"/>
      <c r="L15" s="22">
        <f t="shared" si="4"/>
        <v>1.2345237874868076</v>
      </c>
      <c r="M15" s="22">
        <f t="shared" si="5"/>
        <v>12.044687094740546</v>
      </c>
      <c r="N15" s="131"/>
      <c r="O15" s="14">
        <f>F15</f>
        <v>81.98791128748681</v>
      </c>
      <c r="P15" s="14">
        <f t="shared" si="7"/>
        <v>67.656902094740545</v>
      </c>
    </row>
    <row r="16" spans="1:16" x14ac:dyDescent="0.25">
      <c r="A16" s="3">
        <v>14</v>
      </c>
      <c r="B16" s="19">
        <f t="shared" si="0"/>
        <v>46419</v>
      </c>
      <c r="C16" s="9" t="str">
        <f t="shared" si="2"/>
        <v>Feb</v>
      </c>
      <c r="D16" s="9">
        <f t="shared" si="3"/>
        <v>2027</v>
      </c>
      <c r="E16" s="9" t="str">
        <f>INDEX(Seasons,MATCH($C16,'General Inputs'!$B$20:$B$31,0),1)</f>
        <v>Winter</v>
      </c>
      <c r="F16" s="22">
        <f>'Elec Futures'!H16</f>
        <v>69.318468377957501</v>
      </c>
      <c r="G16" s="22">
        <f>'Elec Futures'!I16</f>
        <v>57.999048073541964</v>
      </c>
      <c r="H16" s="131"/>
      <c r="I16" s="22">
        <f>IFERROR('NG Futures'!$I22*HR_Low_Plant/1000,"Data Missing")</f>
        <v>70.862234999999984</v>
      </c>
      <c r="J16" s="22">
        <f>IFERROR('NG Futures'!$I22*HR_High_Plant/1000,"Data Missing")</f>
        <v>48.800501999999994</v>
      </c>
      <c r="K16" s="131"/>
      <c r="L16" s="22">
        <f>IFERROR(F16-I16,"Data Missing")</f>
        <v>-1.543766622042483</v>
      </c>
      <c r="M16" s="22">
        <f t="shared" si="5"/>
        <v>9.1985460735419693</v>
      </c>
      <c r="N16" s="131"/>
      <c r="O16" s="14">
        <f t="shared" si="6"/>
        <v>69.318468377957501</v>
      </c>
      <c r="P16" s="14">
        <f t="shared" si="7"/>
        <v>57.999048073541964</v>
      </c>
    </row>
    <row r="17" spans="1:16" x14ac:dyDescent="0.25">
      <c r="A17" s="3">
        <v>15</v>
      </c>
      <c r="B17" s="19">
        <f t="shared" si="0"/>
        <v>46447</v>
      </c>
      <c r="C17" s="9" t="str">
        <f t="shared" si="2"/>
        <v>Mar</v>
      </c>
      <c r="D17" s="9">
        <f t="shared" si="3"/>
        <v>2027</v>
      </c>
      <c r="E17" s="9" t="str">
        <f>INDEX(Seasons,MATCH($C17,'General Inputs'!$B$20:$B$31,0),1)</f>
        <v>Shoulder</v>
      </c>
      <c r="F17" s="22">
        <f>'Elec Futures'!H17</f>
        <v>52.495109760385787</v>
      </c>
      <c r="G17" s="22">
        <f>'Elec Futures'!I17</f>
        <v>43.200723363640925</v>
      </c>
      <c r="H17" s="131"/>
      <c r="I17" s="22">
        <f>IFERROR('NG Futures'!$I23*HR_Low_Plant/1000,"Data Missing")</f>
        <v>39.597699999999996</v>
      </c>
      <c r="J17" s="22">
        <f>IFERROR('NG Futures'!$I23*HR_High_Plant/1000,"Data Missing")</f>
        <v>27.269639999999999</v>
      </c>
      <c r="K17" s="131"/>
      <c r="L17" s="22">
        <f t="shared" si="4"/>
        <v>12.897409760385791</v>
      </c>
      <c r="M17" s="22">
        <f t="shared" si="5"/>
        <v>15.931083363640926</v>
      </c>
      <c r="N17" s="131"/>
      <c r="O17" s="14">
        <f t="shared" si="6"/>
        <v>52.495109760385787</v>
      </c>
      <c r="P17" s="14">
        <f t="shared" si="7"/>
        <v>43.200723363640925</v>
      </c>
    </row>
    <row r="18" spans="1:16" x14ac:dyDescent="0.25">
      <c r="A18" s="3">
        <v>16</v>
      </c>
      <c r="B18" s="19">
        <f t="shared" si="0"/>
        <v>46478</v>
      </c>
      <c r="C18" s="9" t="str">
        <f t="shared" si="2"/>
        <v>Apr</v>
      </c>
      <c r="D18" s="9">
        <f t="shared" si="3"/>
        <v>2027</v>
      </c>
      <c r="E18" s="9" t="str">
        <f>INDEX(Seasons,MATCH($C18,'General Inputs'!$B$20:$B$31,0),1)</f>
        <v>Shoulder</v>
      </c>
      <c r="F18" s="22">
        <f>'Elec Futures'!H18</f>
        <v>52.962425277540561</v>
      </c>
      <c r="G18" s="22">
        <f>'Elec Futures'!I18</f>
        <v>40.18913447531019</v>
      </c>
      <c r="H18" s="131"/>
      <c r="I18" s="22">
        <f>IFERROR('NG Futures'!$I24*HR_Low_Plant/1000,"Data Missing")</f>
        <v>33.509140000000002</v>
      </c>
      <c r="J18" s="22">
        <f>IFERROR('NG Futures'!$I24*HR_High_Plant/1000,"Data Missing")</f>
        <v>23.076648000000002</v>
      </c>
      <c r="K18" s="131"/>
      <c r="L18" s="22">
        <f t="shared" si="4"/>
        <v>19.453285277540559</v>
      </c>
      <c r="M18" s="22">
        <f t="shared" si="5"/>
        <v>17.112486475310188</v>
      </c>
      <c r="N18" s="131"/>
      <c r="O18" s="14">
        <f t="shared" si="6"/>
        <v>52.962425277540561</v>
      </c>
      <c r="P18" s="14">
        <f t="shared" si="7"/>
        <v>40.18913447531019</v>
      </c>
    </row>
    <row r="19" spans="1:16" x14ac:dyDescent="0.25">
      <c r="A19" s="3">
        <v>17</v>
      </c>
      <c r="B19" s="19">
        <f t="shared" si="0"/>
        <v>46508</v>
      </c>
      <c r="C19" s="9" t="str">
        <f t="shared" si="2"/>
        <v>May</v>
      </c>
      <c r="D19" s="9">
        <f t="shared" si="3"/>
        <v>2027</v>
      </c>
      <c r="E19" s="9" t="str">
        <f>INDEX(Seasons,MATCH($C19,'General Inputs'!$B$20:$B$31,0),1)</f>
        <v>Summer</v>
      </c>
      <c r="F19" s="22">
        <f>'Elec Futures'!H19</f>
        <v>53.481664741045861</v>
      </c>
      <c r="G19" s="22">
        <f>'Elec Futures'!I19</f>
        <v>34.840968001205603</v>
      </c>
      <c r="H19" s="131"/>
      <c r="I19" s="22">
        <f>IFERROR('NG Futures'!$I25*HR_Low_Plant/1000,"Data Missing")</f>
        <v>29.957480000000004</v>
      </c>
      <c r="J19" s="22">
        <f>IFERROR('NG Futures'!$I25*HR_High_Plant/1000,"Data Missing")</f>
        <v>20.630736000000002</v>
      </c>
      <c r="K19" s="131"/>
      <c r="L19" s="22">
        <f t="shared" si="4"/>
        <v>23.524184741045858</v>
      </c>
      <c r="M19" s="22">
        <f t="shared" si="5"/>
        <v>14.2102320012056</v>
      </c>
      <c r="N19" s="131"/>
      <c r="O19" s="14">
        <f t="shared" si="6"/>
        <v>53.481664741045861</v>
      </c>
      <c r="P19" s="14">
        <f t="shared" si="7"/>
        <v>34.840968001205603</v>
      </c>
    </row>
    <row r="20" spans="1:16" x14ac:dyDescent="0.25">
      <c r="A20" s="3">
        <v>18</v>
      </c>
      <c r="B20" s="19">
        <f t="shared" si="0"/>
        <v>46539</v>
      </c>
      <c r="C20" s="9" t="str">
        <f t="shared" si="2"/>
        <v>Jun</v>
      </c>
      <c r="D20" s="9">
        <f t="shared" si="3"/>
        <v>2027</v>
      </c>
      <c r="E20" s="9" t="str">
        <f>INDEX(Seasons,MATCH($C20,'General Inputs'!$B$20:$B$31,0),1)</f>
        <v>Summer</v>
      </c>
      <c r="F20" s="22">
        <f>'Elec Futures'!H20</f>
        <v>60.127929873913693</v>
      </c>
      <c r="G20" s="22">
        <f>'Elec Futures'!I20</f>
        <v>35.308283518360369</v>
      </c>
      <c r="H20" s="131"/>
      <c r="I20" s="22">
        <f>IFERROR('NG Futures'!$I26*HR_Low_Plant/1000,"Data Missing")</f>
        <v>30.224957499999995</v>
      </c>
      <c r="J20" s="22">
        <f>IFERROR('NG Futures'!$I26*HR_High_Plant/1000,"Data Missing")</f>
        <v>20.814938999999999</v>
      </c>
      <c r="K20" s="131"/>
      <c r="L20" s="22">
        <f t="shared" si="4"/>
        <v>29.902972373913698</v>
      </c>
      <c r="M20" s="22">
        <f t="shared" si="5"/>
        <v>14.49334451836037</v>
      </c>
      <c r="N20" s="131"/>
      <c r="O20" s="14">
        <f t="shared" si="6"/>
        <v>60.127929873913693</v>
      </c>
      <c r="P20" s="14">
        <f t="shared" si="7"/>
        <v>35.308283518360369</v>
      </c>
    </row>
    <row r="21" spans="1:16" x14ac:dyDescent="0.25">
      <c r="A21" s="3">
        <v>19</v>
      </c>
      <c r="B21" s="19">
        <f t="shared" si="0"/>
        <v>46569</v>
      </c>
      <c r="C21" s="9" t="str">
        <f t="shared" si="2"/>
        <v>Jul</v>
      </c>
      <c r="D21" s="9">
        <f t="shared" si="3"/>
        <v>2027</v>
      </c>
      <c r="E21" s="9" t="str">
        <f>INDEX(Seasons,MATCH($C21,'General Inputs'!$B$20:$B$31,0),1)</f>
        <v>Summer</v>
      </c>
      <c r="F21" s="22">
        <f>'Elec Futures'!H21</f>
        <v>88.27070879590093</v>
      </c>
      <c r="G21" s="22">
        <f>'Elec Futures'!I21</f>
        <v>44.654593861455766</v>
      </c>
      <c r="H21" s="131"/>
      <c r="I21" s="22">
        <f>IFERROR('NG Futures'!$I27*HR_Low_Plant/1000,"Data Missing")</f>
        <v>31.617495000000002</v>
      </c>
      <c r="J21" s="22">
        <f>IFERROR('NG Futures'!$I27*HR_High_Plant/1000,"Data Missing")</f>
        <v>21.773934000000001</v>
      </c>
      <c r="K21" s="131"/>
      <c r="L21" s="22">
        <f t="shared" si="4"/>
        <v>56.653213795900925</v>
      </c>
      <c r="M21" s="22">
        <f t="shared" si="5"/>
        <v>22.880659861455765</v>
      </c>
      <c r="N21" s="131"/>
      <c r="O21" s="14">
        <f t="shared" si="6"/>
        <v>88.27070879590093</v>
      </c>
      <c r="P21" s="14">
        <f t="shared" si="7"/>
        <v>44.654593861455766</v>
      </c>
    </row>
    <row r="22" spans="1:16" x14ac:dyDescent="0.25">
      <c r="A22" s="3">
        <v>20</v>
      </c>
      <c r="B22" s="19">
        <f t="shared" si="0"/>
        <v>46600</v>
      </c>
      <c r="C22" s="9" t="str">
        <f t="shared" si="2"/>
        <v>Aug</v>
      </c>
      <c r="D22" s="9">
        <f t="shared" si="3"/>
        <v>2027</v>
      </c>
      <c r="E22" s="9" t="str">
        <f>INDEX(Seasons,MATCH($C22,'General Inputs'!$B$20:$B$31,0),1)</f>
        <v>Summer</v>
      </c>
      <c r="F22" s="22">
        <f>'Elec Futures'!H22</f>
        <v>77.21090822323805</v>
      </c>
      <c r="G22" s="22">
        <f>'Elec Futures'!I22</f>
        <v>38.4756442457427</v>
      </c>
      <c r="H22" s="131"/>
      <c r="I22" s="22">
        <f>IFERROR('NG Futures'!$I28*HR_Low_Plant/1000,"Data Missing")</f>
        <v>32.006302499999997</v>
      </c>
      <c r="J22" s="22">
        <f>IFERROR('NG Futures'!$I28*HR_High_Plant/1000,"Data Missing")</f>
        <v>22.041692999999999</v>
      </c>
      <c r="K22" s="131"/>
      <c r="L22" s="22">
        <f t="shared" si="4"/>
        <v>45.204605723238053</v>
      </c>
      <c r="M22" s="22">
        <f t="shared" si="5"/>
        <v>16.433951245742701</v>
      </c>
      <c r="N22" s="131"/>
      <c r="O22" s="14">
        <f t="shared" si="6"/>
        <v>77.21090822323805</v>
      </c>
      <c r="P22" s="14">
        <f t="shared" si="7"/>
        <v>38.4756442457427</v>
      </c>
    </row>
    <row r="23" spans="1:16" x14ac:dyDescent="0.25">
      <c r="A23" s="3">
        <v>21</v>
      </c>
      <c r="B23" s="19">
        <f t="shared" si="0"/>
        <v>46631</v>
      </c>
      <c r="C23" s="9" t="str">
        <f t="shared" si="2"/>
        <v>Sep</v>
      </c>
      <c r="D23" s="9">
        <f t="shared" si="3"/>
        <v>2027</v>
      </c>
      <c r="E23" s="9" t="str">
        <f>INDEX(Seasons,MATCH($C23,'General Inputs'!$B$20:$B$31,0),1)</f>
        <v>Summer</v>
      </c>
      <c r="F23" s="22">
        <f>'Elec Futures'!H23</f>
        <v>58.46636359069673</v>
      </c>
      <c r="G23" s="22">
        <f>'Elec Futures'!I23</f>
        <v>35.360207464710896</v>
      </c>
      <c r="H23" s="131"/>
      <c r="I23" s="22">
        <f>IFERROR('NG Futures'!$I29*HR_Low_Plant/1000,"Data Missing")</f>
        <v>27.533637500000005</v>
      </c>
      <c r="J23" s="22">
        <f>IFERROR('NG Futures'!$I29*HR_High_Plant/1000,"Data Missing")</f>
        <v>18.961515000000002</v>
      </c>
      <c r="K23" s="131"/>
      <c r="L23" s="22">
        <f t="shared" si="4"/>
        <v>30.932726090696725</v>
      </c>
      <c r="M23" s="22">
        <f t="shared" si="5"/>
        <v>16.398692464710894</v>
      </c>
      <c r="N23" s="131"/>
      <c r="O23" s="14">
        <f t="shared" si="6"/>
        <v>58.46636359069673</v>
      </c>
      <c r="P23" s="14">
        <f t="shared" si="7"/>
        <v>35.360207464710896</v>
      </c>
    </row>
    <row r="24" spans="1:16" x14ac:dyDescent="0.25">
      <c r="A24" s="3">
        <v>22</v>
      </c>
      <c r="B24" s="19">
        <f t="shared" si="0"/>
        <v>46661</v>
      </c>
      <c r="C24" s="9" t="str">
        <f t="shared" si="2"/>
        <v>Oct</v>
      </c>
      <c r="D24" s="9">
        <f t="shared" si="3"/>
        <v>2027</v>
      </c>
      <c r="E24" s="9" t="str">
        <f>INDEX(Seasons,MATCH($C24,'General Inputs'!$B$20:$B$31,0),1)</f>
        <v>Shoulder</v>
      </c>
      <c r="F24" s="22">
        <f>'Elec Futures'!H24</f>
        <v>55.974014165871296</v>
      </c>
      <c r="G24" s="22">
        <f>'Elec Futures'!I24</f>
        <v>38.891035816546939</v>
      </c>
      <c r="H24" s="131"/>
      <c r="I24" s="22">
        <f>IFERROR('NG Futures'!$I30*HR_Low_Plant/1000,"Data Missing")</f>
        <v>27.894869999999997</v>
      </c>
      <c r="J24" s="22">
        <f>IFERROR('NG Futures'!$I30*HR_High_Plant/1000,"Data Missing")</f>
        <v>19.210283999999998</v>
      </c>
      <c r="K24" s="131"/>
      <c r="L24" s="22">
        <f t="shared" si="4"/>
        <v>28.079144165871298</v>
      </c>
      <c r="M24" s="22">
        <f t="shared" si="5"/>
        <v>19.680751816546941</v>
      </c>
      <c r="N24" s="131"/>
      <c r="O24" s="14">
        <f t="shared" si="6"/>
        <v>55.974014165871296</v>
      </c>
      <c r="P24" s="14">
        <f t="shared" si="7"/>
        <v>38.891035816546939</v>
      </c>
    </row>
    <row r="25" spans="1:16" x14ac:dyDescent="0.25">
      <c r="A25" s="3">
        <v>23</v>
      </c>
      <c r="B25" s="19">
        <f t="shared" si="0"/>
        <v>46692</v>
      </c>
      <c r="C25" s="9" t="str">
        <f t="shared" si="2"/>
        <v>Nov</v>
      </c>
      <c r="D25" s="9">
        <f t="shared" si="3"/>
        <v>2027</v>
      </c>
      <c r="E25" s="9" t="str">
        <f>INDEX(Seasons,MATCH($C25,'General Inputs'!$B$20:$B$31,0),1)</f>
        <v>Shoulder</v>
      </c>
      <c r="F25" s="22">
        <f>'Elec Futures'!H25</f>
        <v>54.520143668056456</v>
      </c>
      <c r="G25" s="22">
        <f>'Elec Futures'!I25</f>
        <v>43.616114934445164</v>
      </c>
      <c r="H25" s="131"/>
      <c r="I25" s="22">
        <f>IFERROR('NG Futures'!$I31*HR_Low_Plant/1000,"Data Missing")</f>
        <v>35.817167500000004</v>
      </c>
      <c r="J25" s="22">
        <f>IFERROR('NG Futures'!$I31*HR_High_Plant/1000,"Data Missing")</f>
        <v>24.666111000000001</v>
      </c>
      <c r="K25" s="131"/>
      <c r="L25" s="22">
        <f t="shared" si="4"/>
        <v>18.702976168056452</v>
      </c>
      <c r="M25" s="22">
        <f t="shared" si="5"/>
        <v>18.950003934445164</v>
      </c>
      <c r="N25" s="131"/>
      <c r="O25" s="14">
        <f t="shared" si="6"/>
        <v>54.520143668056456</v>
      </c>
      <c r="P25" s="14">
        <f t="shared" si="7"/>
        <v>43.616114934445164</v>
      </c>
    </row>
    <row r="26" spans="1:16" x14ac:dyDescent="0.25">
      <c r="A26" s="3">
        <v>24</v>
      </c>
      <c r="B26" s="19">
        <f t="shared" si="0"/>
        <v>46722</v>
      </c>
      <c r="C26" s="9" t="str">
        <f t="shared" si="2"/>
        <v>Dec</v>
      </c>
      <c r="D26" s="9">
        <f t="shared" si="3"/>
        <v>2027</v>
      </c>
      <c r="E26" s="9" t="str">
        <f>INDEX(Seasons,MATCH($C26,'General Inputs'!$B$20:$B$31,0),1)</f>
        <v>Winter</v>
      </c>
      <c r="F26" s="22">
        <f>'Elec Futures'!H26</f>
        <v>64.074149796553968</v>
      </c>
      <c r="G26" s="22">
        <f>'Elec Futures'!I26</f>
        <v>53.793208419149032</v>
      </c>
      <c r="H26" s="131"/>
      <c r="I26" s="22">
        <f>IFERROR('NG Futures'!$I32*HR_Low_Plant/1000,"Data Missing")</f>
        <v>57.07197750000001</v>
      </c>
      <c r="J26" s="22">
        <f>IFERROR('NG Futures'!$I32*HR_High_Plant/1000,"Data Missing")</f>
        <v>39.303603000000003</v>
      </c>
      <c r="K26" s="131"/>
      <c r="L26" s="22">
        <f t="shared" si="4"/>
        <v>7.0021722965539581</v>
      </c>
      <c r="M26" s="22">
        <f t="shared" si="5"/>
        <v>14.489605419149029</v>
      </c>
      <c r="N26" s="131"/>
      <c r="O26" s="14">
        <f t="shared" si="6"/>
        <v>64.074149796553968</v>
      </c>
      <c r="P26" s="14">
        <f t="shared" si="7"/>
        <v>53.793208419149032</v>
      </c>
    </row>
    <row r="27" spans="1:16" x14ac:dyDescent="0.25">
      <c r="A27" s="3">
        <v>25</v>
      </c>
      <c r="B27" s="19">
        <f t="shared" si="0"/>
        <v>46753</v>
      </c>
      <c r="C27" s="9" t="str">
        <f t="shared" si="2"/>
        <v>Jan</v>
      </c>
      <c r="D27" s="9">
        <f t="shared" si="3"/>
        <v>2028</v>
      </c>
      <c r="E27" s="9" t="str">
        <f>INDEX(Seasons,MATCH($C27,'General Inputs'!$B$20:$B$31,0),1)</f>
        <v>Winter</v>
      </c>
      <c r="F27" s="22">
        <f>'Elec Futures'!H27</f>
        <v>88.841872205756758</v>
      </c>
      <c r="G27" s="22">
        <f>'Elec Futures'!I27</f>
        <v>73.160840407896714</v>
      </c>
      <c r="H27" s="131"/>
      <c r="I27" s="22">
        <f>IFERROR('NG Futures'!$I33*HR_Low_Plant/1000,"Data Missing")</f>
        <v>80.587937499999995</v>
      </c>
      <c r="J27" s="22">
        <f>IFERROR('NG Futures'!$I33*HR_High_Plant/1000,"Data Missing")</f>
        <v>55.498274999999992</v>
      </c>
      <c r="K27" s="131"/>
      <c r="L27" s="22">
        <f t="shared" si="4"/>
        <v>8.2539347057567625</v>
      </c>
      <c r="M27" s="22">
        <f t="shared" si="5"/>
        <v>17.662565407896722</v>
      </c>
      <c r="N27" s="131"/>
      <c r="O27" s="14">
        <f t="shared" si="6"/>
        <v>88.841872205756758</v>
      </c>
      <c r="P27" s="14">
        <f t="shared" si="7"/>
        <v>73.160840407896714</v>
      </c>
    </row>
    <row r="28" spans="1:16" x14ac:dyDescent="0.25">
      <c r="A28" s="3">
        <v>26</v>
      </c>
      <c r="B28" s="19">
        <f t="shared" si="0"/>
        <v>46784</v>
      </c>
      <c r="C28" s="9" t="str">
        <f t="shared" si="2"/>
        <v>Feb</v>
      </c>
      <c r="D28" s="9">
        <f t="shared" si="3"/>
        <v>2028</v>
      </c>
      <c r="E28" s="9" t="str">
        <f>INDEX(Seasons,MATCH($C28,'General Inputs'!$B$20:$B$31,0),1)</f>
        <v>Winter</v>
      </c>
      <c r="F28" s="22">
        <f>'Elec Futures'!H28</f>
        <v>75.757037725423217</v>
      </c>
      <c r="G28" s="22">
        <f>'Elec Futures'!I28</f>
        <v>64.126073742904495</v>
      </c>
      <c r="H28" s="131"/>
      <c r="I28" s="22">
        <f>IFERROR('NG Futures'!$I34*HR_Low_Plant/1000,"Data Missing")</f>
        <v>71.016655</v>
      </c>
      <c r="J28" s="22">
        <f>IFERROR('NG Futures'!$I34*HR_High_Plant/1000,"Data Missing")</f>
        <v>48.906845999999994</v>
      </c>
      <c r="K28" s="131"/>
      <c r="L28" s="22">
        <f t="shared" si="4"/>
        <v>4.7403827254232169</v>
      </c>
      <c r="M28" s="22">
        <f t="shared" si="5"/>
        <v>15.219227742904501</v>
      </c>
      <c r="N28" s="131"/>
      <c r="O28" s="14">
        <f t="shared" si="6"/>
        <v>75.757037725423217</v>
      </c>
      <c r="P28" s="14">
        <f t="shared" si="7"/>
        <v>64.126073742904495</v>
      </c>
    </row>
    <row r="29" spans="1:16" x14ac:dyDescent="0.25">
      <c r="A29" s="3">
        <v>27</v>
      </c>
      <c r="B29" s="19">
        <f t="shared" si="0"/>
        <v>46813</v>
      </c>
      <c r="C29" s="9" t="str">
        <f t="shared" si="2"/>
        <v>Mar</v>
      </c>
      <c r="D29" s="9">
        <f t="shared" si="3"/>
        <v>2028</v>
      </c>
      <c r="E29" s="9" t="str">
        <f>INDEX(Seasons,MATCH($C29,'General Inputs'!$B$20:$B$31,0),1)</f>
        <v>Shoulder</v>
      </c>
      <c r="F29" s="22">
        <f>'Elec Futures'!H29</f>
        <v>53.948980258200628</v>
      </c>
      <c r="G29" s="22">
        <f>'Elec Futures'!I29</f>
        <v>44.654593861455766</v>
      </c>
      <c r="H29" s="131"/>
      <c r="I29" s="22">
        <f>IFERROR('NG Futures'!$I35*HR_Low_Plant/1000,"Data Missing")</f>
        <v>39.211649999999992</v>
      </c>
      <c r="J29" s="22">
        <f>IFERROR('NG Futures'!$I35*HR_High_Plant/1000,"Data Missing")</f>
        <v>27.003779999999999</v>
      </c>
      <c r="K29" s="131"/>
      <c r="L29" s="22">
        <f t="shared" si="4"/>
        <v>14.737330258200636</v>
      </c>
      <c r="M29" s="22">
        <f t="shared" si="5"/>
        <v>17.650813861455767</v>
      </c>
      <c r="N29" s="131"/>
      <c r="O29" s="14">
        <f t="shared" si="6"/>
        <v>53.948980258200628</v>
      </c>
      <c r="P29" s="14">
        <f t="shared" si="7"/>
        <v>44.654593861455766</v>
      </c>
    </row>
    <row r="30" spans="1:16" x14ac:dyDescent="0.25">
      <c r="A30" s="3">
        <v>28</v>
      </c>
      <c r="B30" s="19">
        <f t="shared" si="0"/>
        <v>46844</v>
      </c>
      <c r="C30" s="9" t="str">
        <f t="shared" si="2"/>
        <v>Apr</v>
      </c>
      <c r="D30" s="9">
        <f t="shared" si="3"/>
        <v>2028</v>
      </c>
      <c r="E30" s="9" t="str">
        <f>INDEX(Seasons,MATCH($C30,'General Inputs'!$B$20:$B$31,0),1)</f>
        <v>Shoulder</v>
      </c>
      <c r="F30" s="22">
        <f>'Elec Futures'!H30</f>
        <v>53.222045009293211</v>
      </c>
      <c r="G30" s="22">
        <f>'Elec Futures'!I30</f>
        <v>40.812221831516545</v>
      </c>
      <c r="H30" s="131"/>
      <c r="I30" s="22">
        <f>IFERROR('NG Futures'!$I36*HR_Low_Plant/1000,"Data Missing")</f>
        <v>32.185540000000003</v>
      </c>
      <c r="J30" s="22">
        <f>IFERROR('NG Futures'!$I36*HR_High_Plant/1000,"Data Missing")</f>
        <v>22.165127999999999</v>
      </c>
      <c r="K30" s="131"/>
      <c r="L30" s="22">
        <f t="shared" si="4"/>
        <v>21.036505009293208</v>
      </c>
      <c r="M30" s="22">
        <f t="shared" si="5"/>
        <v>18.647093831516546</v>
      </c>
      <c r="N30" s="131"/>
      <c r="O30" s="14">
        <f t="shared" si="6"/>
        <v>53.222045009293211</v>
      </c>
      <c r="P30" s="14">
        <f t="shared" si="7"/>
        <v>40.812221831516545</v>
      </c>
    </row>
    <row r="31" spans="1:16" x14ac:dyDescent="0.25">
      <c r="A31" s="3">
        <v>29</v>
      </c>
      <c r="B31" s="19">
        <f t="shared" si="0"/>
        <v>46874</v>
      </c>
      <c r="C31" s="9" t="str">
        <f t="shared" si="2"/>
        <v>May</v>
      </c>
      <c r="D31" s="9">
        <f t="shared" si="3"/>
        <v>2028</v>
      </c>
      <c r="E31" s="9" t="str">
        <f>INDEX(Seasons,MATCH($C31,'General Inputs'!$B$20:$B$31,0),1)</f>
        <v>Summer</v>
      </c>
      <c r="F31" s="22">
        <f>'Elec Futures'!H31</f>
        <v>53.637436580097443</v>
      </c>
      <c r="G31" s="22">
        <f>'Elec Futures'!I31</f>
        <v>34.633272215803487</v>
      </c>
      <c r="H31" s="131"/>
      <c r="I31" s="22">
        <f>IFERROR('NG Futures'!$I37*HR_Low_Plant/1000,"Data Missing")</f>
        <v>28.578730000000004</v>
      </c>
      <c r="J31" s="22">
        <f>IFERROR('NG Futures'!$I37*HR_High_Plant/1000,"Data Missing")</f>
        <v>19.681236000000002</v>
      </c>
      <c r="K31" s="131"/>
      <c r="L31" s="22">
        <f t="shared" si="4"/>
        <v>25.058706580097439</v>
      </c>
      <c r="M31" s="22">
        <f t="shared" si="5"/>
        <v>14.952036215803485</v>
      </c>
      <c r="N31" s="131"/>
      <c r="O31" s="14">
        <f t="shared" si="6"/>
        <v>53.637436580097443</v>
      </c>
      <c r="P31" s="14">
        <f t="shared" si="7"/>
        <v>34.633272215803487</v>
      </c>
    </row>
    <row r="32" spans="1:16" x14ac:dyDescent="0.25">
      <c r="A32" s="3">
        <v>30</v>
      </c>
      <c r="B32" s="19">
        <f t="shared" si="0"/>
        <v>46905</v>
      </c>
      <c r="C32" s="9" t="str">
        <f t="shared" si="2"/>
        <v>Jun</v>
      </c>
      <c r="D32" s="9">
        <f t="shared" si="3"/>
        <v>2028</v>
      </c>
      <c r="E32" s="9" t="str">
        <f>INDEX(Seasons,MATCH($C32,'General Inputs'!$B$20:$B$31,0),1)</f>
        <v>Summer</v>
      </c>
      <c r="F32" s="22">
        <f>'Elec Futures'!H32</f>
        <v>60.439473552016878</v>
      </c>
      <c r="G32" s="22">
        <f>'Elec Futures'!I32</f>
        <v>34.840968001205603</v>
      </c>
      <c r="H32" s="131"/>
      <c r="I32" s="22">
        <f>IFERROR('NG Futures'!$I38*HR_Low_Plant/1000,"Data Missing")</f>
        <v>28.879297499999996</v>
      </c>
      <c r="J32" s="22">
        <f>IFERROR('NG Futures'!$I38*HR_High_Plant/1000,"Data Missing")</f>
        <v>19.888227000000001</v>
      </c>
      <c r="K32" s="131"/>
      <c r="L32" s="22">
        <f t="shared" si="4"/>
        <v>31.560176052016882</v>
      </c>
      <c r="M32" s="22">
        <f t="shared" si="5"/>
        <v>14.952741001205602</v>
      </c>
      <c r="N32" s="131"/>
      <c r="O32" s="14">
        <f t="shared" si="6"/>
        <v>60.439473552016878</v>
      </c>
      <c r="P32" s="14">
        <f t="shared" si="7"/>
        <v>34.840968001205603</v>
      </c>
    </row>
    <row r="33" spans="1:16" x14ac:dyDescent="0.25">
      <c r="A33" s="3">
        <v>31</v>
      </c>
      <c r="B33" s="19">
        <f t="shared" si="0"/>
        <v>46935</v>
      </c>
      <c r="C33" s="9" t="str">
        <f t="shared" si="2"/>
        <v>Jul</v>
      </c>
      <c r="D33" s="9">
        <f t="shared" si="3"/>
        <v>2028</v>
      </c>
      <c r="E33" s="9" t="str">
        <f>INDEX(Seasons,MATCH($C33,'General Inputs'!$B$20:$B$31,0),1)</f>
        <v>Summer</v>
      </c>
      <c r="F33" s="22">
        <f>'Elec Futures'!H33</f>
        <v>90.814982167076906</v>
      </c>
      <c r="G33" s="22">
        <f>'Elec Futures'!I33</f>
        <v>43.304571256341987</v>
      </c>
      <c r="H33" s="131"/>
      <c r="I33" s="22">
        <f>IFERROR('NG Futures'!$I39*HR_Low_Plant/1000,"Data Missing")</f>
        <v>30.238745000000002</v>
      </c>
      <c r="J33" s="22">
        <f>IFERROR('NG Futures'!$I39*HR_High_Plant/1000,"Data Missing")</f>
        <v>20.824434</v>
      </c>
      <c r="K33" s="131"/>
      <c r="L33" s="22">
        <f t="shared" si="4"/>
        <v>60.576237167076904</v>
      </c>
      <c r="M33" s="22">
        <f t="shared" si="5"/>
        <v>22.480137256341987</v>
      </c>
      <c r="N33" s="131"/>
      <c r="O33" s="14">
        <f t="shared" si="6"/>
        <v>90.814982167076906</v>
      </c>
      <c r="P33" s="14">
        <f t="shared" si="7"/>
        <v>43.304571256341987</v>
      </c>
    </row>
    <row r="34" spans="1:16" x14ac:dyDescent="0.25">
      <c r="A34" s="3">
        <v>32</v>
      </c>
      <c r="B34" s="19">
        <f t="shared" si="0"/>
        <v>46966</v>
      </c>
      <c r="C34" s="9" t="str">
        <f t="shared" si="2"/>
        <v>Aug</v>
      </c>
      <c r="D34" s="9">
        <f t="shared" si="3"/>
        <v>2028</v>
      </c>
      <c r="E34" s="9" t="str">
        <f>INDEX(Seasons,MATCH($C34,'General Inputs'!$B$20:$B$31,0),1)</f>
        <v>Summer</v>
      </c>
      <c r="F34" s="22">
        <f>'Elec Futures'!H34</f>
        <v>79.235942130908711</v>
      </c>
      <c r="G34" s="22">
        <f>'Elec Futures'!I34</f>
        <v>39.773742904505944</v>
      </c>
      <c r="H34" s="131"/>
      <c r="I34" s="22">
        <f>IFERROR('NG Futures'!$I40*HR_Low_Plant/1000,"Data Missing")</f>
        <v>30.726822500000001</v>
      </c>
      <c r="J34" s="22">
        <f>IFERROR('NG Futures'!$I40*HR_High_Plant/1000,"Data Missing")</f>
        <v>21.160557000000001</v>
      </c>
      <c r="K34" s="131"/>
      <c r="L34" s="22">
        <f t="shared" si="4"/>
        <v>48.509119630908714</v>
      </c>
      <c r="M34" s="22">
        <f t="shared" si="5"/>
        <v>18.613185904505944</v>
      </c>
      <c r="N34" s="131"/>
      <c r="O34" s="14">
        <f t="shared" si="6"/>
        <v>79.235942130908711</v>
      </c>
      <c r="P34" s="14">
        <f t="shared" si="7"/>
        <v>39.773742904505944</v>
      </c>
    </row>
    <row r="35" spans="1:16" x14ac:dyDescent="0.25">
      <c r="A35" s="3">
        <v>33</v>
      </c>
      <c r="B35" s="19">
        <f t="shared" si="0"/>
        <v>46997</v>
      </c>
      <c r="C35" s="9" t="str">
        <f t="shared" si="2"/>
        <v>Sep</v>
      </c>
      <c r="D35" s="9">
        <f t="shared" si="3"/>
        <v>2028</v>
      </c>
      <c r="E35" s="9" t="str">
        <f>INDEX(Seasons,MATCH($C35,'General Inputs'!$B$20:$B$31,0),1)</f>
        <v>Summer</v>
      </c>
      <c r="F35" s="22">
        <f>'Elec Futures'!H35</f>
        <v>58.933679107851503</v>
      </c>
      <c r="G35" s="22">
        <f>'Elec Futures'!I35</f>
        <v>32.244770683679107</v>
      </c>
      <c r="H35" s="131"/>
      <c r="I35" s="22">
        <f>IFERROR('NG Futures'!$I41*HR_Low_Plant/1000,"Data Missing")</f>
        <v>26.452697500000006</v>
      </c>
      <c r="J35" s="22">
        <f>IFERROR('NG Futures'!$I41*HR_High_Plant/1000,"Data Missing")</f>
        <v>18.217107000000002</v>
      </c>
      <c r="K35" s="131"/>
      <c r="L35" s="22">
        <f t="shared" si="4"/>
        <v>32.480981607851497</v>
      </c>
      <c r="M35" s="22">
        <f t="shared" si="5"/>
        <v>14.027663683679105</v>
      </c>
      <c r="N35" s="131"/>
      <c r="O35" s="14">
        <f t="shared" si="6"/>
        <v>58.933679107851503</v>
      </c>
      <c r="P35" s="14">
        <f t="shared" si="7"/>
        <v>32.244770683679107</v>
      </c>
    </row>
    <row r="36" spans="1:16" x14ac:dyDescent="0.25">
      <c r="A36" s="3">
        <v>34</v>
      </c>
      <c r="B36" s="19">
        <f t="shared" si="0"/>
        <v>47027</v>
      </c>
      <c r="C36" s="9" t="str">
        <f t="shared" si="2"/>
        <v>Oct</v>
      </c>
      <c r="D36" s="9">
        <f t="shared" si="3"/>
        <v>2028</v>
      </c>
      <c r="E36" s="9" t="str">
        <f>INDEX(Seasons,MATCH($C36,'General Inputs'!$B$20:$B$31,0),1)</f>
        <v>Shoulder</v>
      </c>
      <c r="F36" s="22">
        <f>'Elec Futures'!H36</f>
        <v>55.922090219520769</v>
      </c>
      <c r="G36" s="22">
        <f>'Elec Futures'!I36</f>
        <v>38.21602451399005</v>
      </c>
      <c r="H36" s="131"/>
      <c r="I36" s="22">
        <f>IFERROR('NG Futures'!$I42*HR_Low_Plant/1000,"Data Missing")</f>
        <v>26.924229999999998</v>
      </c>
      <c r="J36" s="22">
        <f>IFERROR('NG Futures'!$I42*HR_High_Plant/1000,"Data Missing")</f>
        <v>18.541836</v>
      </c>
      <c r="K36" s="131"/>
      <c r="L36" s="22">
        <f t="shared" si="4"/>
        <v>28.997860219520771</v>
      </c>
      <c r="M36" s="22">
        <f t="shared" si="5"/>
        <v>19.67418851399005</v>
      </c>
      <c r="N36" s="131"/>
      <c r="O36" s="14">
        <f t="shared" si="6"/>
        <v>55.922090219520769</v>
      </c>
      <c r="P36" s="14">
        <f t="shared" si="7"/>
        <v>38.21602451399005</v>
      </c>
    </row>
    <row r="37" spans="1:16" x14ac:dyDescent="0.25">
      <c r="A37" s="3">
        <v>35</v>
      </c>
      <c r="B37" s="19">
        <f t="shared" si="0"/>
        <v>47058</v>
      </c>
      <c r="C37" s="9" t="str">
        <f t="shared" si="2"/>
        <v>Nov</v>
      </c>
      <c r="D37" s="9">
        <f t="shared" si="3"/>
        <v>2028</v>
      </c>
      <c r="E37" s="9" t="str">
        <f>INDEX(Seasons,MATCH($C37,'General Inputs'!$B$20:$B$31,0),1)</f>
        <v>Shoulder</v>
      </c>
      <c r="F37" s="22">
        <f>'Elec Futures'!H37</f>
        <v>54.831687346159633</v>
      </c>
      <c r="G37" s="22">
        <f>'Elec Futures'!I37</f>
        <v>44.083430451599938</v>
      </c>
      <c r="H37" s="131"/>
      <c r="I37" s="22">
        <f>IFERROR('NG Futures'!$I43*HR_Low_Plant/1000,"Data Missing")</f>
        <v>35.232577499999998</v>
      </c>
      <c r="J37" s="22">
        <f>IFERROR('NG Futures'!$I43*HR_High_Plant/1000,"Data Missing")</f>
        <v>24.263522999999999</v>
      </c>
      <c r="K37" s="131"/>
      <c r="L37" s="22">
        <f t="shared" si="4"/>
        <v>19.599109846159635</v>
      </c>
      <c r="M37" s="22">
        <f t="shared" si="5"/>
        <v>19.819907451599938</v>
      </c>
      <c r="N37" s="131"/>
      <c r="O37" s="14">
        <f t="shared" si="6"/>
        <v>54.831687346159633</v>
      </c>
      <c r="P37" s="14">
        <f t="shared" si="7"/>
        <v>44.083430451599938</v>
      </c>
    </row>
    <row r="38" spans="1:16" x14ac:dyDescent="0.25">
      <c r="A38" s="3">
        <v>36</v>
      </c>
      <c r="B38" s="19">
        <f t="shared" si="0"/>
        <v>47088</v>
      </c>
      <c r="C38" s="9" t="str">
        <f t="shared" si="2"/>
        <v>Dec</v>
      </c>
      <c r="D38" s="9">
        <f t="shared" si="3"/>
        <v>2028</v>
      </c>
      <c r="E38" s="9" t="str">
        <f>INDEX(Seasons,MATCH($C38,'General Inputs'!$B$20:$B$31,0),1)</f>
        <v>Winter</v>
      </c>
      <c r="F38" s="22">
        <f>'Elec Futures'!H38</f>
        <v>63.814530064801325</v>
      </c>
      <c r="G38" s="22">
        <f>'Elec Futures'!I38</f>
        <v>53.066273170241622</v>
      </c>
      <c r="H38" s="131"/>
      <c r="I38" s="22">
        <f>IFERROR('NG Futures'!$I44*HR_Low_Plant/1000,"Data Missing")</f>
        <v>56.78519750000001</v>
      </c>
      <c r="J38" s="22">
        <f>IFERROR('NG Futures'!$I44*HR_High_Plant/1000,"Data Missing")</f>
        <v>39.106107000000002</v>
      </c>
      <c r="K38" s="131"/>
      <c r="L38" s="22">
        <f t="shared" si="4"/>
        <v>7.0293325648013152</v>
      </c>
      <c r="M38" s="22">
        <f t="shared" si="5"/>
        <v>13.960166170241621</v>
      </c>
      <c r="N38" s="131"/>
      <c r="O38" s="14">
        <f t="shared" si="6"/>
        <v>63.814530064801325</v>
      </c>
      <c r="P38" s="14">
        <f t="shared" si="7"/>
        <v>53.066273170241622</v>
      </c>
    </row>
    <row r="39" spans="1:16" x14ac:dyDescent="0.25">
      <c r="A39" s="3">
        <v>37</v>
      </c>
      <c r="B39" s="19">
        <f t="shared" si="0"/>
        <v>47119</v>
      </c>
      <c r="C39" s="9" t="str">
        <f t="shared" si="2"/>
        <v>Jan</v>
      </c>
      <c r="D39" s="9">
        <f t="shared" si="3"/>
        <v>2029</v>
      </c>
      <c r="E39" s="9" t="str">
        <f>INDEX(Seasons,MATCH($C39,'General Inputs'!$B$20:$B$31,0),1)</f>
        <v>Winter</v>
      </c>
      <c r="F39" s="22">
        <f>'Elec Futures'!H39</f>
        <v>85.674511478374427</v>
      </c>
      <c r="G39" s="22">
        <f>'Elec Futures'!I39</f>
        <v>73.368536193298837</v>
      </c>
      <c r="H39" s="131"/>
      <c r="I39" s="22">
        <f>IFERROR('NG Futures'!$I45*HR_Low_Plant/1000,"Data Missing")</f>
        <v>79.937167500000001</v>
      </c>
      <c r="J39" s="22">
        <f>IFERROR('NG Futures'!$I45*HR_High_Plant/1000,"Data Missing")</f>
        <v>55.050110999999994</v>
      </c>
      <c r="K39" s="131"/>
      <c r="L39" s="22">
        <f t="shared" si="4"/>
        <v>5.737343978374426</v>
      </c>
      <c r="M39" s="22">
        <f t="shared" si="5"/>
        <v>18.318425193298843</v>
      </c>
      <c r="N39" s="131"/>
      <c r="O39" s="14">
        <f t="shared" si="6"/>
        <v>85.674511478374427</v>
      </c>
      <c r="P39" s="14">
        <f t="shared" si="7"/>
        <v>73.368536193298837</v>
      </c>
    </row>
    <row r="40" spans="1:16" x14ac:dyDescent="0.25">
      <c r="A40" s="3">
        <v>38</v>
      </c>
      <c r="B40" s="19">
        <f t="shared" si="0"/>
        <v>47150</v>
      </c>
      <c r="C40" s="9" t="str">
        <f t="shared" si="2"/>
        <v>Feb</v>
      </c>
      <c r="D40" s="9">
        <f t="shared" si="3"/>
        <v>2029</v>
      </c>
      <c r="E40" s="9" t="str">
        <f>INDEX(Seasons,MATCH($C40,'General Inputs'!$B$20:$B$31,0),1)</f>
        <v>Winter</v>
      </c>
      <c r="F40" s="22">
        <f>'Elec Futures'!H40</f>
        <v>79.443637916310834</v>
      </c>
      <c r="G40" s="22">
        <f>'Elec Futures'!I40</f>
        <v>66.514575275028875</v>
      </c>
      <c r="H40" s="131"/>
      <c r="I40" s="22">
        <f>IFERROR('NG Futures'!$I46*HR_Low_Plant/1000,"Data Missing")</f>
        <v>70.354855000000001</v>
      </c>
      <c r="J40" s="22">
        <f>IFERROR('NG Futures'!$I46*HR_High_Plant/1000,"Data Missing")</f>
        <v>48.451085999999997</v>
      </c>
      <c r="K40" s="131"/>
      <c r="L40" s="22">
        <f t="shared" si="4"/>
        <v>9.0887829163108336</v>
      </c>
      <c r="M40" s="22">
        <f t="shared" si="5"/>
        <v>18.063489275028878</v>
      </c>
      <c r="N40" s="131"/>
      <c r="O40" s="14">
        <f t="shared" si="6"/>
        <v>79.443637916310834</v>
      </c>
      <c r="P40" s="14">
        <f t="shared" si="7"/>
        <v>66.514575275028875</v>
      </c>
    </row>
    <row r="41" spans="1:16" x14ac:dyDescent="0.25">
      <c r="A41" s="3">
        <v>39</v>
      </c>
      <c r="B41" s="19">
        <f t="shared" si="0"/>
        <v>47178</v>
      </c>
      <c r="C41" s="9" t="str">
        <f t="shared" si="2"/>
        <v>Mar</v>
      </c>
      <c r="D41" s="9">
        <f t="shared" si="3"/>
        <v>2029</v>
      </c>
      <c r="E41" s="9" t="str">
        <f>INDEX(Seasons,MATCH($C41,'General Inputs'!$B$20:$B$31,0),1)</f>
        <v>Shoulder</v>
      </c>
      <c r="F41" s="22">
        <f>'Elec Futures'!H41</f>
        <v>53.948980258200628</v>
      </c>
      <c r="G41" s="22">
        <f>'Elec Futures'!I41</f>
        <v>44.031506505249403</v>
      </c>
      <c r="H41" s="131"/>
      <c r="I41" s="22">
        <f>IFERROR('NG Futures'!$I47*HR_Low_Plant/1000,"Data Missing")</f>
        <v>37.788779999999996</v>
      </c>
      <c r="J41" s="22">
        <f>IFERROR('NG Futures'!$I47*HR_High_Plant/1000,"Data Missing")</f>
        <v>26.023895999999997</v>
      </c>
      <c r="K41" s="131"/>
      <c r="L41" s="22">
        <f t="shared" si="4"/>
        <v>16.160200258200632</v>
      </c>
      <c r="M41" s="22">
        <f t="shared" si="5"/>
        <v>18.007610505249406</v>
      </c>
      <c r="N41" s="131"/>
      <c r="O41" s="14">
        <f t="shared" si="6"/>
        <v>53.948980258200628</v>
      </c>
      <c r="P41" s="14">
        <f t="shared" si="7"/>
        <v>44.031506505249403</v>
      </c>
    </row>
    <row r="42" spans="1:16" x14ac:dyDescent="0.25">
      <c r="A42" s="3">
        <v>40</v>
      </c>
      <c r="B42" s="19">
        <f t="shared" si="0"/>
        <v>47209</v>
      </c>
      <c r="C42" s="9" t="str">
        <f t="shared" si="2"/>
        <v>Apr</v>
      </c>
      <c r="D42" s="9">
        <f t="shared" si="3"/>
        <v>2029</v>
      </c>
      <c r="E42" s="9" t="str">
        <f>INDEX(Seasons,MATCH($C42,'General Inputs'!$B$20:$B$31,0),1)</f>
        <v>Shoulder</v>
      </c>
      <c r="F42" s="22">
        <f>'Elec Futures'!H42</f>
        <v>52.650881599437383</v>
      </c>
      <c r="G42" s="22">
        <f>'Elec Futures'!I42</f>
        <v>38.787187923845885</v>
      </c>
      <c r="H42" s="131"/>
      <c r="I42" s="22">
        <f>IFERROR('NG Futures'!$I48*HR_Low_Plant/1000,"Data Missing")</f>
        <v>30.828849999999999</v>
      </c>
      <c r="J42" s="22">
        <f>IFERROR('NG Futures'!$I48*HR_High_Plant/1000,"Data Missing")</f>
        <v>21.230820000000001</v>
      </c>
      <c r="K42" s="131"/>
      <c r="L42" s="22">
        <f t="shared" si="4"/>
        <v>21.822031599437384</v>
      </c>
      <c r="M42" s="22">
        <f t="shared" si="5"/>
        <v>17.556367923845883</v>
      </c>
      <c r="N42" s="131"/>
      <c r="O42" s="14">
        <f t="shared" si="6"/>
        <v>52.650881599437383</v>
      </c>
      <c r="P42" s="14">
        <f t="shared" si="7"/>
        <v>38.787187923845885</v>
      </c>
    </row>
    <row r="43" spans="1:16" x14ac:dyDescent="0.25">
      <c r="A43" s="3">
        <v>41</v>
      </c>
      <c r="B43" s="19">
        <f t="shared" si="0"/>
        <v>47239</v>
      </c>
      <c r="C43" s="9" t="str">
        <f t="shared" si="2"/>
        <v>May</v>
      </c>
      <c r="D43" s="9">
        <f t="shared" si="3"/>
        <v>2029</v>
      </c>
      <c r="E43" s="9" t="str">
        <f>INDEX(Seasons,MATCH($C43,'General Inputs'!$B$20:$B$31,0),1)</f>
        <v>Summer</v>
      </c>
      <c r="F43" s="22">
        <f>'Elec Futures'!H43</f>
        <v>53.429740794695334</v>
      </c>
      <c r="G43" s="22">
        <f>'Elec Futures'!I43</f>
        <v>36.242914552669909</v>
      </c>
      <c r="H43" s="131"/>
      <c r="I43" s="22">
        <f>IFERROR('NG Futures'!$I49*HR_Low_Plant/1000,"Data Missing")</f>
        <v>27.310279999999999</v>
      </c>
      <c r="J43" s="22">
        <f>IFERROR('NG Futures'!$I49*HR_High_Plant/1000,"Data Missing")</f>
        <v>18.807696</v>
      </c>
      <c r="K43" s="131"/>
      <c r="L43" s="22">
        <f t="shared" si="4"/>
        <v>26.119460794695335</v>
      </c>
      <c r="M43" s="22">
        <f t="shared" si="5"/>
        <v>17.435218552669909</v>
      </c>
      <c r="N43" s="131"/>
      <c r="O43" s="14">
        <f t="shared" si="6"/>
        <v>53.429740794695334</v>
      </c>
      <c r="P43" s="14">
        <f t="shared" si="7"/>
        <v>36.242914552669909</v>
      </c>
    </row>
    <row r="44" spans="1:16" x14ac:dyDescent="0.25">
      <c r="A44" s="3">
        <v>42</v>
      </c>
      <c r="B44" s="19">
        <f t="shared" si="0"/>
        <v>47270</v>
      </c>
      <c r="C44" s="9" t="str">
        <f t="shared" si="2"/>
        <v>Jun</v>
      </c>
      <c r="D44" s="9">
        <f t="shared" si="3"/>
        <v>2029</v>
      </c>
      <c r="E44" s="9" t="str">
        <f>INDEX(Seasons,MATCH($C44,'General Inputs'!$B$20:$B$31,0),1)</f>
        <v>Summer</v>
      </c>
      <c r="F44" s="22">
        <f>'Elec Futures'!H44</f>
        <v>59.349070678655742</v>
      </c>
      <c r="G44" s="22">
        <f>'Elec Futures'!I44</f>
        <v>35.464055357411958</v>
      </c>
      <c r="H44" s="131"/>
      <c r="I44" s="22">
        <f>IFERROR('NG Futures'!$I50*HR_Low_Plant/1000,"Data Missing")</f>
        <v>27.5998175</v>
      </c>
      <c r="J44" s="22">
        <f>IFERROR('NG Futures'!$I50*HR_High_Plant/1000,"Data Missing")</f>
        <v>19.007090999999999</v>
      </c>
      <c r="K44" s="131"/>
      <c r="L44" s="22">
        <f t="shared" si="4"/>
        <v>31.749253178655742</v>
      </c>
      <c r="M44" s="22">
        <f t="shared" si="5"/>
        <v>16.456964357411959</v>
      </c>
      <c r="N44" s="131"/>
      <c r="O44" s="14">
        <f t="shared" si="6"/>
        <v>59.349070678655742</v>
      </c>
      <c r="P44" s="14">
        <f t="shared" si="7"/>
        <v>35.464055357411958</v>
      </c>
    </row>
    <row r="45" spans="1:16" x14ac:dyDescent="0.25">
      <c r="A45" s="3">
        <v>43</v>
      </c>
      <c r="B45" s="19">
        <f t="shared" si="0"/>
        <v>47300</v>
      </c>
      <c r="C45" s="9" t="str">
        <f t="shared" si="2"/>
        <v>Jul</v>
      </c>
      <c r="D45" s="9">
        <f t="shared" si="3"/>
        <v>2029</v>
      </c>
      <c r="E45" s="9" t="str">
        <f>INDEX(Seasons,MATCH($C45,'General Inputs'!$B$20:$B$31,0),1)</f>
        <v>Summer</v>
      </c>
      <c r="F45" s="22">
        <f>'Elec Futures'!H45</f>
        <v>91.593841362334857</v>
      </c>
      <c r="G45" s="22">
        <f>'Elec Futures'!I45</f>
        <v>42.473788114733502</v>
      </c>
      <c r="H45" s="131"/>
      <c r="I45" s="22">
        <f>IFERROR('NG Futures'!$I51*HR_Low_Plant/1000,"Data Missing")</f>
        <v>28.904115000000001</v>
      </c>
      <c r="J45" s="22">
        <f>IFERROR('NG Futures'!$I51*HR_High_Plant/1000,"Data Missing")</f>
        <v>19.905318000000001</v>
      </c>
      <c r="K45" s="131"/>
      <c r="L45" s="22">
        <f t="shared" si="4"/>
        <v>62.689726362334852</v>
      </c>
      <c r="M45" s="22">
        <f t="shared" si="5"/>
        <v>22.568470114733501</v>
      </c>
      <c r="N45" s="131"/>
      <c r="O45" s="14">
        <f t="shared" si="6"/>
        <v>91.593841362334857</v>
      </c>
      <c r="P45" s="14">
        <f t="shared" si="7"/>
        <v>42.473788114733502</v>
      </c>
    </row>
    <row r="46" spans="1:16" x14ac:dyDescent="0.25">
      <c r="A46" s="3">
        <v>44</v>
      </c>
      <c r="B46" s="19">
        <f t="shared" si="0"/>
        <v>47331</v>
      </c>
      <c r="C46" s="9" t="str">
        <f t="shared" si="2"/>
        <v>Aug</v>
      </c>
      <c r="D46" s="9">
        <f t="shared" si="3"/>
        <v>2029</v>
      </c>
      <c r="E46" s="9" t="str">
        <f>INDEX(Seasons,MATCH($C46,'General Inputs'!$B$20:$B$31,0),1)</f>
        <v>Summer</v>
      </c>
      <c r="F46" s="22">
        <f>'Elec Futures'!H46</f>
        <v>80.430192896970908</v>
      </c>
      <c r="G46" s="22">
        <f>'Elec Futures'!I46</f>
        <v>39.046807655598528</v>
      </c>
      <c r="H46" s="131"/>
      <c r="I46" s="22">
        <f>IFERROR('NG Futures'!$I52*HR_Low_Plant/1000,"Data Missing")</f>
        <v>29.403222499999998</v>
      </c>
      <c r="J46" s="22">
        <f>IFERROR('NG Futures'!$I52*HR_High_Plant/1000,"Data Missing")</f>
        <v>20.249037000000001</v>
      </c>
      <c r="K46" s="131"/>
      <c r="L46" s="22">
        <f t="shared" si="4"/>
        <v>51.02697039697091</v>
      </c>
      <c r="M46" s="22">
        <f t="shared" si="5"/>
        <v>18.797770655598526</v>
      </c>
      <c r="N46" s="131"/>
      <c r="O46" s="14">
        <f t="shared" si="6"/>
        <v>80.430192896970908</v>
      </c>
      <c r="P46" s="14">
        <f t="shared" si="7"/>
        <v>39.046807655598528</v>
      </c>
    </row>
    <row r="47" spans="1:16" x14ac:dyDescent="0.25">
      <c r="A47" s="3">
        <v>45</v>
      </c>
      <c r="B47" s="19">
        <f t="shared" si="0"/>
        <v>47362</v>
      </c>
      <c r="C47" s="9" t="str">
        <f t="shared" si="2"/>
        <v>Sep</v>
      </c>
      <c r="D47" s="9">
        <f t="shared" si="3"/>
        <v>2029</v>
      </c>
      <c r="E47" s="9" t="str">
        <f>INDEX(Seasons,MATCH($C47,'General Inputs'!$B$20:$B$31,0),1)</f>
        <v>Summer</v>
      </c>
      <c r="F47" s="22">
        <f>'Elec Futures'!H47</f>
        <v>58.102895966243025</v>
      </c>
      <c r="G47" s="22">
        <f>'Elec Futures'!I47</f>
        <v>35.775599035515143</v>
      </c>
      <c r="H47" s="131"/>
      <c r="I47" s="22">
        <f>IFERROR('NG Futures'!$I53*HR_Low_Plant/1000,"Data Missing")</f>
        <v>25.239397500000003</v>
      </c>
      <c r="J47" s="22">
        <f>IFERROR('NG Futures'!$I53*HR_High_Plant/1000,"Data Missing")</f>
        <v>17.381547000000001</v>
      </c>
      <c r="K47" s="131"/>
      <c r="L47" s="22">
        <f t="shared" si="4"/>
        <v>32.863498466243023</v>
      </c>
      <c r="M47" s="22">
        <f t="shared" si="5"/>
        <v>18.394052035515141</v>
      </c>
      <c r="N47" s="131"/>
      <c r="O47" s="14">
        <f t="shared" si="6"/>
        <v>58.102895966243025</v>
      </c>
      <c r="P47" s="14">
        <f t="shared" si="7"/>
        <v>35.775599035515143</v>
      </c>
    </row>
    <row r="48" spans="1:16" x14ac:dyDescent="0.25">
      <c r="A48" s="3">
        <v>46</v>
      </c>
      <c r="B48" s="19">
        <f t="shared" si="0"/>
        <v>47392</v>
      </c>
      <c r="C48" s="9" t="str">
        <f t="shared" si="2"/>
        <v>Oct</v>
      </c>
      <c r="D48" s="9">
        <f t="shared" si="3"/>
        <v>2029</v>
      </c>
      <c r="E48" s="9" t="str">
        <f>INDEX(Seasons,MATCH($C48,'General Inputs'!$B$20:$B$31,0),1)</f>
        <v>Shoulder</v>
      </c>
      <c r="F48" s="22">
        <f>'Elec Futures'!H48</f>
        <v>53.014349223891088</v>
      </c>
      <c r="G48" s="22">
        <f>'Elec Futures'!I48</f>
        <v>36.710230069824682</v>
      </c>
      <c r="H48" s="131"/>
      <c r="I48" s="22">
        <f>IFERROR('NG Futures'!$I54*HR_Low_Plant/1000,"Data Missing")</f>
        <v>25.77711</v>
      </c>
      <c r="J48" s="22">
        <f>IFERROR('NG Futures'!$I54*HR_High_Plant/1000,"Data Missing")</f>
        <v>17.751852000000003</v>
      </c>
      <c r="K48" s="131"/>
      <c r="L48" s="22">
        <f t="shared" si="4"/>
        <v>27.237239223891088</v>
      </c>
      <c r="M48" s="22">
        <f t="shared" si="5"/>
        <v>18.958378069824679</v>
      </c>
      <c r="N48" s="131"/>
      <c r="O48" s="14">
        <f t="shared" si="6"/>
        <v>53.014349223891088</v>
      </c>
      <c r="P48" s="14">
        <f t="shared" si="7"/>
        <v>36.710230069824682</v>
      </c>
    </row>
    <row r="49" spans="1:16" x14ac:dyDescent="0.25">
      <c r="A49" s="3">
        <v>47</v>
      </c>
      <c r="B49" s="19">
        <f t="shared" si="0"/>
        <v>47423</v>
      </c>
      <c r="C49" s="9" t="str">
        <f t="shared" si="2"/>
        <v>Nov</v>
      </c>
      <c r="D49" s="9">
        <f t="shared" si="3"/>
        <v>2029</v>
      </c>
      <c r="E49" s="9" t="str">
        <f>INDEX(Seasons,MATCH($C49,'General Inputs'!$B$20:$B$31,0),1)</f>
        <v>Shoulder</v>
      </c>
      <c r="F49" s="22">
        <f>'Elec Futures'!H49</f>
        <v>56.337481790325008</v>
      </c>
      <c r="G49" s="22">
        <f>'Elec Futures'!I49</f>
        <v>42.110320490279797</v>
      </c>
      <c r="H49" s="131"/>
      <c r="I49" s="22">
        <f>IFERROR('NG Futures'!$I55*HR_Low_Plant/1000,"Data Missing")</f>
        <v>33.467777500000004</v>
      </c>
      <c r="J49" s="22">
        <f>IFERROR('NG Futures'!$I55*HR_High_Plant/1000,"Data Missing")</f>
        <v>23.048162999999999</v>
      </c>
      <c r="K49" s="131"/>
      <c r="L49" s="22">
        <f t="shared" si="4"/>
        <v>22.869704290325004</v>
      </c>
      <c r="M49" s="22">
        <f t="shared" si="5"/>
        <v>19.062157490279798</v>
      </c>
      <c r="N49" s="131"/>
      <c r="O49" s="14">
        <f t="shared" si="6"/>
        <v>56.337481790325008</v>
      </c>
      <c r="P49" s="14">
        <f t="shared" si="7"/>
        <v>42.110320490279797</v>
      </c>
    </row>
    <row r="50" spans="1:16" x14ac:dyDescent="0.25">
      <c r="A50" s="3">
        <v>48</v>
      </c>
      <c r="B50" s="19">
        <f t="shared" si="0"/>
        <v>47453</v>
      </c>
      <c r="C50" s="9" t="str">
        <f t="shared" si="2"/>
        <v>Dec</v>
      </c>
      <c r="D50" s="9">
        <f t="shared" si="3"/>
        <v>2029</v>
      </c>
      <c r="E50" s="9" t="str">
        <f>INDEX(Seasons,MATCH($C50,'General Inputs'!$B$20:$B$31,0),1)</f>
        <v>Winter</v>
      </c>
      <c r="F50" s="22">
        <f>'Elec Futures'!H50</f>
        <v>67.501130255688949</v>
      </c>
      <c r="G50" s="22">
        <f>'Elec Futures'!I50</f>
        <v>52.235490028633137</v>
      </c>
      <c r="H50" s="131"/>
      <c r="I50" s="22">
        <f>IFERROR('NG Futures'!$I56*HR_Low_Plant/1000,"Data Missing")</f>
        <v>54.899067499999994</v>
      </c>
      <c r="J50" s="22">
        <f>IFERROR('NG Futures'!$I56*HR_High_Plant/1000,"Data Missing")</f>
        <v>37.807190999999996</v>
      </c>
      <c r="K50" s="131"/>
      <c r="L50" s="22">
        <f t="shared" si="4"/>
        <v>12.602062755688955</v>
      </c>
      <c r="M50" s="22">
        <f t="shared" si="5"/>
        <v>14.428299028633141</v>
      </c>
      <c r="N50" s="131"/>
      <c r="O50" s="14">
        <f t="shared" si="6"/>
        <v>67.501130255688949</v>
      </c>
      <c r="P50" s="14">
        <f t="shared" si="7"/>
        <v>52.235490028633137</v>
      </c>
    </row>
    <row r="51" spans="1:16" x14ac:dyDescent="0.25">
      <c r="A51" s="3">
        <v>49</v>
      </c>
      <c r="B51" s="19">
        <f t="shared" si="0"/>
        <v>47484</v>
      </c>
      <c r="C51" s="9" t="str">
        <f t="shared" si="2"/>
        <v>Jan</v>
      </c>
      <c r="D51" s="9">
        <f t="shared" si="3"/>
        <v>2030</v>
      </c>
      <c r="E51" s="9" t="str">
        <f>INDEX(Seasons,MATCH($C51,'General Inputs'!$B$20:$B$31,0),1)</f>
        <v>Winter</v>
      </c>
      <c r="F51" s="22">
        <f>'Elec Futures'!H51</f>
        <v>86.401446727281851</v>
      </c>
      <c r="G51" s="22">
        <f>'Elec Futures'!I51</f>
        <v>71.810817802782935</v>
      </c>
      <c r="H51" s="131"/>
      <c r="I51" s="22">
        <f>IFERROR('NG Futures'!$I57*HR_Low_Plant/1000,"Data Missing")</f>
        <v>78.629505850000001</v>
      </c>
      <c r="J51" s="22">
        <f>IFERROR('NG Futures'!$I57*HR_High_Plant/1000,"Data Missing")</f>
        <v>54.149567219999994</v>
      </c>
      <c r="K51" s="131"/>
      <c r="L51" s="22">
        <f t="shared" si="4"/>
        <v>7.7719408772818497</v>
      </c>
      <c r="M51" s="22">
        <f t="shared" si="5"/>
        <v>17.661250582782941</v>
      </c>
      <c r="N51" s="131"/>
      <c r="O51" s="14">
        <f t="shared" si="6"/>
        <v>86.401446727281851</v>
      </c>
      <c r="P51" s="14">
        <f t="shared" si="7"/>
        <v>71.810817802782935</v>
      </c>
    </row>
    <row r="52" spans="1:16" x14ac:dyDescent="0.25">
      <c r="A52" s="3">
        <v>50</v>
      </c>
      <c r="B52" s="19">
        <f t="shared" si="0"/>
        <v>47515</v>
      </c>
      <c r="C52" s="9" t="str">
        <f t="shared" si="2"/>
        <v>Feb</v>
      </c>
      <c r="D52" s="9">
        <f t="shared" si="3"/>
        <v>2030</v>
      </c>
      <c r="E52" s="9" t="str">
        <f>INDEX(Seasons,MATCH($C52,'General Inputs'!$B$20:$B$31,0),1)</f>
        <v>Winter</v>
      </c>
      <c r="F52" s="22">
        <f>'Elec Futures'!H52</f>
        <v>79.703257648063484</v>
      </c>
      <c r="G52" s="22">
        <f>'Elec Futures'!I52</f>
        <v>65.112628723564569</v>
      </c>
      <c r="H52" s="131"/>
      <c r="I52" s="22">
        <f>IFERROR('NG Futures'!$I58*HR_Low_Plant/1000,"Data Missing")</f>
        <v>69.559702299999984</v>
      </c>
      <c r="J52" s="22">
        <f>IFERROR('NG Futures'!$I58*HR_High_Plant/1000,"Data Missing")</f>
        <v>47.903490359999999</v>
      </c>
      <c r="K52" s="131"/>
      <c r="L52" s="22">
        <f t="shared" si="4"/>
        <v>10.143555348063501</v>
      </c>
      <c r="M52" s="22">
        <f t="shared" si="5"/>
        <v>17.20913836356457</v>
      </c>
      <c r="N52" s="131"/>
      <c r="O52" s="14">
        <f t="shared" si="6"/>
        <v>79.703257648063484</v>
      </c>
      <c r="P52" s="14">
        <f t="shared" si="7"/>
        <v>65.112628723564569</v>
      </c>
    </row>
    <row r="53" spans="1:16" x14ac:dyDescent="0.25">
      <c r="A53" s="3">
        <v>51</v>
      </c>
      <c r="B53" s="19">
        <f t="shared" si="0"/>
        <v>47543</v>
      </c>
      <c r="C53" s="9" t="str">
        <f t="shared" si="2"/>
        <v>Mar</v>
      </c>
      <c r="D53" s="9">
        <f t="shared" si="3"/>
        <v>2030</v>
      </c>
      <c r="E53" s="9" t="str">
        <f>INDEX(Seasons,MATCH($C53,'General Inputs'!$B$20:$B$31,0),1)</f>
        <v>Shoulder</v>
      </c>
      <c r="F53" s="22">
        <f>'Elec Futures'!H53</f>
        <v>57.947124127191429</v>
      </c>
      <c r="G53" s="22">
        <f>'Elec Futures'!I53</f>
        <v>47.977726427889685</v>
      </c>
      <c r="H53" s="131"/>
      <c r="I53" s="22">
        <f>IFERROR('NG Futures'!$I59*HR_Low_Plant/1000,"Data Missing")</f>
        <v>36.969692199999997</v>
      </c>
      <c r="J53" s="22">
        <f>IFERROR('NG Futures'!$I59*HR_High_Plant/1000,"Data Missing")</f>
        <v>25.459817039999997</v>
      </c>
      <c r="K53" s="131"/>
      <c r="L53" s="22">
        <f t="shared" si="4"/>
        <v>20.977431927191432</v>
      </c>
      <c r="M53" s="22">
        <f t="shared" si="5"/>
        <v>22.517909387889688</v>
      </c>
      <c r="N53" s="131"/>
      <c r="O53" s="14">
        <f t="shared" si="6"/>
        <v>57.947124127191429</v>
      </c>
      <c r="P53" s="14">
        <f t="shared" si="7"/>
        <v>47.977726427889685</v>
      </c>
    </row>
    <row r="54" spans="1:16" x14ac:dyDescent="0.25">
      <c r="A54" s="3">
        <v>52</v>
      </c>
      <c r="B54" s="19">
        <f t="shared" si="0"/>
        <v>47574</v>
      </c>
      <c r="C54" s="9" t="str">
        <f t="shared" si="2"/>
        <v>Apr</v>
      </c>
      <c r="D54" s="9">
        <f t="shared" si="3"/>
        <v>2030</v>
      </c>
      <c r="E54" s="9" t="str">
        <f>INDEX(Seasons,MATCH($C54,'General Inputs'!$B$20:$B$31,0),1)</f>
        <v>Shoulder</v>
      </c>
      <c r="F54" s="22">
        <f>'Elec Futures'!H54</f>
        <v>54.935535238860695</v>
      </c>
      <c r="G54" s="22">
        <f>'Elec Futures'!I54</f>
        <v>38.579492138443761</v>
      </c>
      <c r="H54" s="131"/>
      <c r="I54" s="22">
        <f>IFERROR('NG Futures'!$I60*HR_Low_Plant/1000,"Data Missing")</f>
        <v>29.542752</v>
      </c>
      <c r="J54" s="22">
        <f>IFERROR('NG Futures'!$I60*HR_High_Plant/1000,"Data Missing")</f>
        <v>20.345126399999998</v>
      </c>
      <c r="K54" s="131"/>
      <c r="L54" s="22">
        <f t="shared" si="4"/>
        <v>25.392783238860694</v>
      </c>
      <c r="M54" s="22">
        <f t="shared" si="5"/>
        <v>18.234365738443763</v>
      </c>
      <c r="N54" s="131"/>
      <c r="O54" s="14">
        <f t="shared" si="6"/>
        <v>54.935535238860695</v>
      </c>
      <c r="P54" s="14">
        <f t="shared" si="7"/>
        <v>38.579492138443761</v>
      </c>
    </row>
    <row r="55" spans="1:16" x14ac:dyDescent="0.25">
      <c r="A55" s="3">
        <v>53</v>
      </c>
      <c r="B55" s="19">
        <f t="shared" si="0"/>
        <v>47604</v>
      </c>
      <c r="C55" s="9" t="str">
        <f t="shared" si="2"/>
        <v>May</v>
      </c>
      <c r="D55" s="9">
        <f t="shared" si="3"/>
        <v>2030</v>
      </c>
      <c r="E55" s="9" t="str">
        <f>INDEX(Seasons,MATCH($C55,'General Inputs'!$B$20:$B$31,0),1)</f>
        <v>Summer</v>
      </c>
      <c r="F55" s="22">
        <f>'Elec Futures'!H55</f>
        <v>56.908645200180835</v>
      </c>
      <c r="G55" s="22">
        <f>'Elec Futures'!I55</f>
        <v>36.969849801577332</v>
      </c>
      <c r="H55" s="131"/>
      <c r="I55" s="22">
        <f>IFERROR('NG Futures'!$I61*HR_Low_Plant/1000,"Data Missing")</f>
        <v>25.859173200000001</v>
      </c>
      <c r="J55" s="22">
        <f>IFERROR('NG Futures'!$I61*HR_High_Plant/1000,"Data Missing")</f>
        <v>17.808366239999998</v>
      </c>
      <c r="K55" s="131"/>
      <c r="L55" s="22">
        <f t="shared" si="4"/>
        <v>31.049472000180835</v>
      </c>
      <c r="M55" s="22">
        <f t="shared" si="5"/>
        <v>19.161483561577334</v>
      </c>
      <c r="N55" s="131"/>
      <c r="O55" s="14">
        <f t="shared" si="6"/>
        <v>56.908645200180835</v>
      </c>
      <c r="P55" s="14">
        <f t="shared" si="7"/>
        <v>36.969849801577332</v>
      </c>
    </row>
    <row r="56" spans="1:16" x14ac:dyDescent="0.25">
      <c r="A56" s="3">
        <v>54</v>
      </c>
      <c r="B56" s="19">
        <f t="shared" si="0"/>
        <v>47635</v>
      </c>
      <c r="C56" s="9" t="str">
        <f t="shared" si="2"/>
        <v>Jun</v>
      </c>
      <c r="D56" s="9">
        <f t="shared" si="3"/>
        <v>2030</v>
      </c>
      <c r="E56" s="9" t="str">
        <f>INDEX(Seasons,MATCH($C56,'General Inputs'!$B$20:$B$31,0),1)</f>
        <v>Summer</v>
      </c>
      <c r="F56" s="22">
        <f>'Elec Futures'!H56</f>
        <v>61.270256693625349</v>
      </c>
      <c r="G56" s="22">
        <f>'Elec Futures'!I56</f>
        <v>36.08714271361832</v>
      </c>
      <c r="H56" s="131"/>
      <c r="I56" s="22">
        <f>IFERROR('NG Futures'!$I62*HR_Low_Plant/1000,"Data Missing")</f>
        <v>25.966991449999998</v>
      </c>
      <c r="J56" s="22">
        <f>IFERROR('NG Futures'!$I62*HR_High_Plant/1000,"Data Missing")</f>
        <v>17.882617139999997</v>
      </c>
      <c r="K56" s="131"/>
      <c r="L56" s="22">
        <f t="shared" si="4"/>
        <v>35.303265243625347</v>
      </c>
      <c r="M56" s="22">
        <f t="shared" si="5"/>
        <v>18.204525573618323</v>
      </c>
      <c r="N56" s="131"/>
      <c r="O56" s="14">
        <f t="shared" si="6"/>
        <v>61.270256693625349</v>
      </c>
      <c r="P56" s="14">
        <f t="shared" si="7"/>
        <v>36.08714271361832</v>
      </c>
    </row>
    <row r="57" spans="1:16" x14ac:dyDescent="0.25">
      <c r="A57" s="3">
        <v>55</v>
      </c>
      <c r="B57" s="19">
        <f t="shared" si="0"/>
        <v>47665</v>
      </c>
      <c r="C57" s="9" t="str">
        <f t="shared" si="2"/>
        <v>Jul</v>
      </c>
      <c r="D57" s="9">
        <f t="shared" si="3"/>
        <v>2030</v>
      </c>
      <c r="E57" s="9" t="str">
        <f>INDEX(Seasons,MATCH($C57,'General Inputs'!$B$20:$B$31,0),1)</f>
        <v>Summer</v>
      </c>
      <c r="F57" s="22">
        <f>'Elec Futures'!H57</f>
        <v>85.311043853920722</v>
      </c>
      <c r="G57" s="22">
        <f>'Elec Futures'!I57</f>
        <v>43.356495202692514</v>
      </c>
      <c r="H57" s="131"/>
      <c r="I57" s="22">
        <f>IFERROR('NG Futures'!$I63*HR_Low_Plant/1000,"Data Missing")</f>
        <v>27.050302899999995</v>
      </c>
      <c r="J57" s="22">
        <f>IFERROR('NG Futures'!$I63*HR_High_Plant/1000,"Data Missing")</f>
        <v>18.628658279999996</v>
      </c>
      <c r="K57" s="131"/>
      <c r="L57" s="22">
        <f t="shared" si="4"/>
        <v>58.260740953920731</v>
      </c>
      <c r="M57" s="22">
        <f t="shared" si="5"/>
        <v>24.727836922692518</v>
      </c>
      <c r="N57" s="131"/>
      <c r="O57" s="14">
        <f>F57</f>
        <v>85.311043853920722</v>
      </c>
      <c r="P57" s="14">
        <f t="shared" si="7"/>
        <v>43.356495202692514</v>
      </c>
    </row>
    <row r="58" spans="1:16" x14ac:dyDescent="0.25">
      <c r="A58" s="3">
        <v>56</v>
      </c>
      <c r="B58" s="19">
        <f t="shared" si="0"/>
        <v>47696</v>
      </c>
      <c r="C58" s="9" t="str">
        <f t="shared" si="2"/>
        <v>Aug</v>
      </c>
      <c r="D58" s="9">
        <f t="shared" si="3"/>
        <v>2030</v>
      </c>
      <c r="E58" s="9" t="str">
        <f>INDEX(Seasons,MATCH($C58,'General Inputs'!$B$20:$B$31,0),1)</f>
        <v>Summer</v>
      </c>
      <c r="F58" s="22">
        <f>'Elec Futures'!H58</f>
        <v>73.576231978700946</v>
      </c>
      <c r="G58" s="22">
        <f>'Elec Futures'!I58</f>
        <v>39.877590797207006</v>
      </c>
      <c r="H58" s="131"/>
      <c r="I58" s="22">
        <f>IFERROR('NG Futures'!$I64*HR_Low_Plant/1000,"Data Missing")</f>
        <v>27.510860549999997</v>
      </c>
      <c r="J58" s="22">
        <f>IFERROR('NG Futures'!$I64*HR_High_Plant/1000,"Data Missing")</f>
        <v>18.94582926</v>
      </c>
      <c r="K58" s="131"/>
      <c r="L58" s="22">
        <f t="shared" si="4"/>
        <v>46.065371428700949</v>
      </c>
      <c r="M58" s="22">
        <f t="shared" si="5"/>
        <v>20.931761537207006</v>
      </c>
      <c r="N58" s="131"/>
      <c r="O58" s="14">
        <f t="shared" si="6"/>
        <v>73.576231978700946</v>
      </c>
      <c r="P58" s="14">
        <f t="shared" si="7"/>
        <v>39.877590797207006</v>
      </c>
    </row>
    <row r="59" spans="1:16" x14ac:dyDescent="0.25">
      <c r="A59" s="3">
        <v>57</v>
      </c>
      <c r="B59" s="19">
        <f t="shared" si="0"/>
        <v>47727</v>
      </c>
      <c r="C59" s="9" t="str">
        <f t="shared" si="2"/>
        <v>Sep</v>
      </c>
      <c r="D59" s="9">
        <f t="shared" si="3"/>
        <v>2030</v>
      </c>
      <c r="E59" s="9" t="str">
        <f>INDEX(Seasons,MATCH($C59,'General Inputs'!$B$20:$B$31,0),1)</f>
        <v>Summer</v>
      </c>
      <c r="F59" s="22">
        <f>'Elec Futures'!H59</f>
        <v>59.452918571356804</v>
      </c>
      <c r="G59" s="22">
        <f>'Elec Futures'!I59</f>
        <v>36.190990606319382</v>
      </c>
      <c r="H59" s="131"/>
      <c r="I59" s="22">
        <f>IFERROR('NG Futures'!$I65*HR_Low_Plant/1000,"Data Missing")</f>
        <v>23.066542650000002</v>
      </c>
      <c r="J59" s="22">
        <f>IFERROR('NG Futures'!$I65*HR_High_Plant/1000,"Data Missing")</f>
        <v>15.885172980000004</v>
      </c>
      <c r="K59" s="131"/>
      <c r="L59" s="22">
        <f t="shared" si="4"/>
        <v>36.386375921356802</v>
      </c>
      <c r="M59" s="22">
        <f t="shared" si="5"/>
        <v>20.305817626319378</v>
      </c>
      <c r="N59" s="131"/>
      <c r="O59" s="14">
        <f t="shared" si="6"/>
        <v>59.452918571356804</v>
      </c>
      <c r="P59" s="14">
        <f t="shared" si="7"/>
        <v>36.190990606319382</v>
      </c>
    </row>
    <row r="60" spans="1:16" x14ac:dyDescent="0.25">
      <c r="A60" s="3">
        <v>58</v>
      </c>
      <c r="B60" s="19">
        <f t="shared" si="0"/>
        <v>47757</v>
      </c>
      <c r="C60" s="9" t="str">
        <f t="shared" si="2"/>
        <v>Oct</v>
      </c>
      <c r="D60" s="9">
        <f t="shared" si="3"/>
        <v>2030</v>
      </c>
      <c r="E60" s="9" t="str">
        <f>INDEX(Seasons,MATCH($C60,'General Inputs'!$B$20:$B$31,0),1)</f>
        <v>Shoulder</v>
      </c>
      <c r="F60" s="22">
        <f>'Elec Futures'!H60</f>
        <v>54.520143668056456</v>
      </c>
      <c r="G60" s="22">
        <f>'Elec Futures'!I60</f>
        <v>36.917925855226798</v>
      </c>
      <c r="H60" s="131"/>
      <c r="I60" s="22">
        <f>IFERROR('NG Futures'!$I66*HR_Low_Plant/1000,"Data Missing")</f>
        <v>23.620965599999998</v>
      </c>
      <c r="J60" s="22">
        <f>IFERROR('NG Futures'!$I66*HR_High_Plant/1000,"Data Missing")</f>
        <v>16.26698592</v>
      </c>
      <c r="K60" s="131"/>
      <c r="L60" s="22">
        <f t="shared" si="4"/>
        <v>30.899178068056457</v>
      </c>
      <c r="M60" s="22">
        <f t="shared" si="5"/>
        <v>20.650939935226798</v>
      </c>
      <c r="N60" s="131"/>
      <c r="O60" s="14">
        <f t="shared" si="6"/>
        <v>54.520143668056456</v>
      </c>
      <c r="P60" s="14">
        <f t="shared" si="7"/>
        <v>36.917925855226798</v>
      </c>
    </row>
    <row r="61" spans="1:16" x14ac:dyDescent="0.25">
      <c r="A61" s="3">
        <v>59</v>
      </c>
      <c r="B61" s="19">
        <f t="shared" si="0"/>
        <v>47788</v>
      </c>
      <c r="C61" s="9" t="str">
        <f t="shared" si="2"/>
        <v>Nov</v>
      </c>
      <c r="D61" s="9">
        <f t="shared" si="3"/>
        <v>2030</v>
      </c>
      <c r="E61" s="9" t="str">
        <f>INDEX(Seasons,MATCH($C61,'General Inputs'!$B$20:$B$31,0),1)</f>
        <v>Shoulder</v>
      </c>
      <c r="F61" s="22">
        <f>'Elec Futures'!H61</f>
        <v>58.414439644346203</v>
      </c>
      <c r="G61" s="22">
        <f>'Elec Futures'!I61</f>
        <v>42.577636007434563</v>
      </c>
      <c r="H61" s="131"/>
      <c r="I61" s="22">
        <f>IFERROR('NG Futures'!$I67*HR_Low_Plant/1000,"Data Missing")</f>
        <v>31.468314249999999</v>
      </c>
      <c r="J61" s="22">
        <f>IFERROR('NG Futures'!$I67*HR_High_Plant/1000,"Data Missing")</f>
        <v>21.671198099999998</v>
      </c>
      <c r="K61" s="131"/>
      <c r="L61" s="22">
        <f t="shared" si="4"/>
        <v>26.946125394346204</v>
      </c>
      <c r="M61" s="22">
        <f t="shared" si="5"/>
        <v>20.906437907434565</v>
      </c>
      <c r="N61" s="131"/>
      <c r="O61" s="14">
        <f t="shared" si="6"/>
        <v>58.414439644346203</v>
      </c>
      <c r="P61" s="14">
        <f t="shared" si="7"/>
        <v>42.577636007434563</v>
      </c>
    </row>
    <row r="62" spans="1:16" x14ac:dyDescent="0.25">
      <c r="A62" s="3">
        <v>60</v>
      </c>
      <c r="B62" s="19">
        <f t="shared" si="0"/>
        <v>47818</v>
      </c>
      <c r="C62" s="9" t="str">
        <f t="shared" si="2"/>
        <v>Dec</v>
      </c>
      <c r="D62" s="9">
        <f t="shared" si="3"/>
        <v>2030</v>
      </c>
      <c r="E62" s="9" t="str">
        <f>INDEX(Seasons,MATCH($C62,'General Inputs'!$B$20:$B$31,0),1)</f>
        <v>Winter</v>
      </c>
      <c r="F62" s="22">
        <f>'Elec Futures'!H62</f>
        <v>71.291578339277635</v>
      </c>
      <c r="G62" s="22">
        <f>'Elec Futures'!I62</f>
        <v>57.947124127191429</v>
      </c>
      <c r="H62" s="131"/>
      <c r="I62" s="22">
        <f>IFERROR('NG Futures'!$I68*HR_Low_Plant/1000,"Data Missing")</f>
        <v>53.131675450000003</v>
      </c>
      <c r="J62" s="22">
        <f>IFERROR('NG Futures'!$I68*HR_High_Plant/1000,"Data Missing")</f>
        <v>36.590045940000003</v>
      </c>
      <c r="K62" s="131"/>
      <c r="L62" s="22">
        <f t="shared" si="4"/>
        <v>18.159902889277632</v>
      </c>
      <c r="M62" s="22">
        <f t="shared" si="5"/>
        <v>21.357078187191426</v>
      </c>
      <c r="N62" s="131"/>
      <c r="O62" s="14">
        <f>F62</f>
        <v>71.291578339277635</v>
      </c>
      <c r="P62" s="14">
        <f>G62</f>
        <v>57.947124127191429</v>
      </c>
    </row>
    <row r="63" spans="1:16" x14ac:dyDescent="0.25">
      <c r="A63" s="3">
        <v>61</v>
      </c>
      <c r="B63" s="19">
        <f t="shared" si="0"/>
        <v>47849</v>
      </c>
      <c r="C63" s="9" t="str">
        <f t="shared" si="2"/>
        <v>Jan</v>
      </c>
      <c r="D63" s="9">
        <f t="shared" si="3"/>
        <v>2031</v>
      </c>
      <c r="E63" s="9" t="str">
        <f>INDEX(Seasons,MATCH($C63,'General Inputs'!$B$20:$B$31,0),1)</f>
        <v>Winter</v>
      </c>
      <c r="F63" s="22">
        <f>'Elec Futures'!H63</f>
        <v>0</v>
      </c>
      <c r="G63" s="22">
        <f>'Elec Futures'!I63</f>
        <v>0</v>
      </c>
      <c r="H63" s="131"/>
      <c r="I63" s="22">
        <f>IFERROR('NG Futures'!$I69*HR_Low_Plant/1000,"Data Missing")</f>
        <v>77.139293265612991</v>
      </c>
      <c r="J63" s="22">
        <f>IFERROR('NG Futures'!$I69*HR_High_Plant/1000,"Data Missing")</f>
        <v>53.1233065861828</v>
      </c>
      <c r="K63" s="131"/>
      <c r="L63" s="22">
        <f ca="1">IFERROR(INDEX(Spark_Spread_On,MATCH($C63,Adjustments!$H$3:$H$14,0),1)+IF(INDEX(Spark_Spread_On,MATCH($C63,Adjustments!$H$3:$H$14,0),1)&gt;1,INDEX(Spark_Spread_On,MATCH($C63,Adjustments!$H$3:$H$14,0),1)*(Inflation_Rate+BLS_Esc_Rate),-INDEX(Spark_Spread_On,MATCH($C63,Adjustments!$H$3:$H$14,0),1)*(Inflation_Rate+BLS_Esc_Rate)),"Data Missing")</f>
        <v>5.8685378940686794</v>
      </c>
      <c r="M63" s="22">
        <f ca="1">IFERROR(INDEX(Spark_Spread_Off,MATCH($C63,Adjustments!$H$3:$H$14,0),1)+IF(INDEX(Spark_Spread_Off,MATCH($C63,Adjustments!$H$3:$H$14,0),1)&gt;1,INDEX(Spark_Spread_Off,MATCH($C63,Adjustments!$H$3:$H$14,0),1)*(Inflation_Rate+BLS_Esc_Rate),-INDEX(Spark_Spread_Off,MATCH($C63,Adjustments!$H$3:$H$14,0),1)*(Inflation_Rate+BLS_Esc_Rate)),"Data Missing")</f>
        <v>16.761915371452087</v>
      </c>
      <c r="N63" s="131"/>
      <c r="O63" s="15">
        <f ca="1">IFERROR(I63+L63, "Data Missing")</f>
        <v>83.007831159681672</v>
      </c>
      <c r="P63" s="15">
        <f ca="1">IFERROR(J63+M63, "Data Missing")</f>
        <v>69.885221957634883</v>
      </c>
    </row>
    <row r="64" spans="1:16" x14ac:dyDescent="0.25">
      <c r="A64" s="3">
        <v>62</v>
      </c>
      <c r="B64" s="19">
        <f t="shared" si="0"/>
        <v>47880</v>
      </c>
      <c r="C64" s="9" t="str">
        <f t="shared" si="2"/>
        <v>Feb</v>
      </c>
      <c r="D64" s="9">
        <f t="shared" si="3"/>
        <v>2031</v>
      </c>
      <c r="E64" s="9" t="str">
        <f>INDEX(Seasons,MATCH($C64,'General Inputs'!$B$20:$B$31,0),1)</f>
        <v>Winter</v>
      </c>
      <c r="F64" s="22">
        <f>'Elec Futures'!H64</f>
        <v>0</v>
      </c>
      <c r="G64" s="22">
        <f>'Elec Futures'!I64</f>
        <v>0</v>
      </c>
      <c r="H64" s="131"/>
      <c r="I64" s="22">
        <f>IFERROR('NG Futures'!$I70*HR_Low_Plant/1000,"Data Missing")</f>
        <v>68.111137005514564</v>
      </c>
      <c r="J64" s="22">
        <f>IFERROR('NG Futures'!$I70*HR_High_Plant/1000,"Data Missing")</f>
        <v>46.905910851667144</v>
      </c>
      <c r="K64" s="131"/>
      <c r="L64" s="22">
        <f ca="1">IFERROR(INDEX(Spark_Spread_On,MATCH($C64,Adjustments!$H$3:$H$14,0),1)+IF(INDEX(Spark_Spread_On,MATCH($C64,Adjustments!$H$3:$H$14,0),1)&gt;1,INDEX(Spark_Spread_On,MATCH($C64,Adjustments!$H$3:$H$14,0),1)*(Inflation_Rate+BLS_Esc_Rate),-INDEX(Spark_Spread_On,MATCH($C64,Adjustments!$H$3:$H$14,0),1)*(Inflation_Rate+BLS_Esc_Rate)),"Data Missing")</f>
        <v>5.7233949711767895</v>
      </c>
      <c r="M64" s="22">
        <f ca="1">IFERROR(INDEX(Spark_Spread_Off,MATCH($C64,Adjustments!$H$3:$H$14,0),1)+IF(INDEX(Spark_Spread_Off,MATCH($C64,Adjustments!$H$3:$H$14,0),1)&gt;1,INDEX(Spark_Spread_Off,MATCH($C64,Adjustments!$H$3:$H$14,0),1)*(Inflation_Rate+BLS_Esc_Rate),-INDEX(Spark_Spread_Off,MATCH($C64,Adjustments!$H$3:$H$14,0),1)*(Inflation_Rate+BLS_Esc_Rate)),"Data Missing")</f>
        <v>15.231728502085021</v>
      </c>
      <c r="N64" s="131"/>
      <c r="O64" s="15">
        <f ca="1">IFERROR(I64+L64, "Data Missing")</f>
        <v>73.834531976691352</v>
      </c>
      <c r="P64" s="15">
        <f t="shared" ref="P64:P126" ca="1" si="8">IFERROR(J64+M64, "Data Missing")</f>
        <v>62.137639353752164</v>
      </c>
    </row>
    <row r="65" spans="1:16" x14ac:dyDescent="0.25">
      <c r="A65" s="3">
        <v>63</v>
      </c>
      <c r="B65" s="19">
        <f t="shared" si="0"/>
        <v>47908</v>
      </c>
      <c r="C65" s="9" t="str">
        <f t="shared" si="2"/>
        <v>Mar</v>
      </c>
      <c r="D65" s="9">
        <f t="shared" si="3"/>
        <v>2031</v>
      </c>
      <c r="E65" s="9" t="str">
        <f>INDEX(Seasons,MATCH($C65,'General Inputs'!$B$20:$B$31,0),1)</f>
        <v>Shoulder</v>
      </c>
      <c r="F65" s="22">
        <f>'Elec Futures'!H65</f>
        <v>0</v>
      </c>
      <c r="G65" s="22">
        <f>'Elec Futures'!I65</f>
        <v>0</v>
      </c>
      <c r="H65" s="131"/>
      <c r="I65" s="22">
        <f>IFERROR('NG Futures'!$I71*HR_Low_Plant/1000,"Data Missing")</f>
        <v>35.538347463799262</v>
      </c>
      <c r="J65" s="22">
        <f>IFERROR('NG Futures'!$I71*HR_High_Plant/1000,"Data Missing")</f>
        <v>24.474096766547522</v>
      </c>
      <c r="K65" s="131"/>
      <c r="L65" s="22">
        <f ca="1">IFERROR(INDEX(Spark_Spread_On,MATCH($C65,Adjustments!$H$3:$H$14,0),1)+IF(INDEX(Spark_Spread_On,MATCH($C65,Adjustments!$H$3:$H$14,0),1)&gt;1,INDEX(Spark_Spread_On,MATCH($C65,Adjustments!$H$3:$H$14,0),1)*(Inflation_Rate+BLS_Esc_Rate),-INDEX(Spark_Spread_On,MATCH($C65,Adjustments!$H$3:$H$14,0),1)*(Inflation_Rate+BLS_Esc_Rate)),"Data Missing")</f>
        <v>16.528539996336317</v>
      </c>
      <c r="M65" s="22">
        <f ca="1">IFERROR(INDEX(Spark_Spread_Off,MATCH($C65,Adjustments!$H$3:$H$14,0),1)+IF(INDEX(Spark_Spread_Off,MATCH($C65,Adjustments!$H$3:$H$14,0),1)&gt;1,INDEX(Spark_Spread_Off,MATCH($C65,Adjustments!$H$3:$H$14,0),1)*(Inflation_Rate+BLS_Esc_Rate),-INDEX(Spark_Spread_Off,MATCH($C65,Adjustments!$H$3:$H$14,0),1)*(Inflation_Rate+BLS_Esc_Rate)),"Data Missing")</f>
        <v>18.910646100880385</v>
      </c>
      <c r="N65" s="131"/>
      <c r="O65" s="15">
        <f t="shared" ref="O65:O127" ca="1" si="9">IFERROR(I65+L65, "Data Missing")</f>
        <v>52.066887460135575</v>
      </c>
      <c r="P65" s="15">
        <f t="shared" ca="1" si="8"/>
        <v>43.384742867427903</v>
      </c>
    </row>
    <row r="66" spans="1:16" x14ac:dyDescent="0.25">
      <c r="A66" s="3">
        <v>64</v>
      </c>
      <c r="B66" s="19">
        <f t="shared" si="0"/>
        <v>47939</v>
      </c>
      <c r="C66" s="9" t="str">
        <f t="shared" si="2"/>
        <v>Apr</v>
      </c>
      <c r="D66" s="9">
        <f t="shared" si="3"/>
        <v>2031</v>
      </c>
      <c r="E66" s="9" t="str">
        <f>INDEX(Seasons,MATCH($C66,'General Inputs'!$B$20:$B$31,0),1)</f>
        <v>Shoulder</v>
      </c>
      <c r="F66" s="22">
        <f>'Elec Futures'!H66</f>
        <v>0</v>
      </c>
      <c r="G66" s="22">
        <f>'Elec Futures'!I66</f>
        <v>0</v>
      </c>
      <c r="H66" s="131"/>
      <c r="I66" s="22">
        <f>IFERROR('NG Futures'!$I72*HR_Low_Plant/1000,"Data Missing")</f>
        <v>29.208471106306689</v>
      </c>
      <c r="J66" s="22">
        <f>IFERROR('NG Futures'!$I72*HR_High_Plant/1000,"Data Missing")</f>
        <v>20.114918089166423</v>
      </c>
      <c r="K66" s="131"/>
      <c r="L66" s="22">
        <f ca="1">IFERROR(INDEX(Spark_Spread_On,MATCH($C66,Adjustments!$H$3:$H$14,0),1)+IF(INDEX(Spark_Spread_On,MATCH($C66,Adjustments!$H$3:$H$14,0),1)&gt;1,INDEX(Spark_Spread_On,MATCH($C66,Adjustments!$H$3:$H$14,0),1)*(Inflation_Rate+BLS_Esc_Rate),-INDEX(Spark_Spread_On,MATCH($C66,Adjustments!$H$3:$H$14,0),1)*(Inflation_Rate+BLS_Esc_Rate)),"Data Missing")</f>
        <v>22.38036101423787</v>
      </c>
      <c r="M66" s="22">
        <f ca="1">IFERROR(INDEX(Spark_Spread_Off,MATCH($C66,Adjustments!$H$3:$H$14,0),1)+IF(INDEX(Spark_Spread_Off,MATCH($C66,Adjustments!$H$3:$H$14,0),1)&gt;1,INDEX(Spark_Spread_Off,MATCH($C66,Adjustments!$H$3:$H$14,0),1)*(Inflation_Rate+BLS_Esc_Rate),-INDEX(Spark_Spread_Off,MATCH($C66,Adjustments!$H$3:$H$14,0),1)*(Inflation_Rate+BLS_Esc_Rate)),"Data Missing")</f>
        <v>18.258127438419208</v>
      </c>
      <c r="N66" s="131"/>
      <c r="O66" s="15">
        <f t="shared" ca="1" si="9"/>
        <v>51.588832120544559</v>
      </c>
      <c r="P66" s="15">
        <f t="shared" ca="1" si="8"/>
        <v>38.373045527585631</v>
      </c>
    </row>
    <row r="67" spans="1:16" x14ac:dyDescent="0.25">
      <c r="A67" s="3">
        <v>65</v>
      </c>
      <c r="B67" s="19">
        <f t="shared" ref="B67:B130" si="10">DATE(Start_Year-1,A67,1)</f>
        <v>47969</v>
      </c>
      <c r="C67" s="9" t="str">
        <f t="shared" si="2"/>
        <v>May</v>
      </c>
      <c r="D67" s="9">
        <f t="shared" si="3"/>
        <v>2031</v>
      </c>
      <c r="E67" s="9" t="str">
        <f>INDEX(Seasons,MATCH($C67,'General Inputs'!$B$20:$B$31,0),1)</f>
        <v>Summer</v>
      </c>
      <c r="F67" s="22">
        <f>'Elec Futures'!H67</f>
        <v>0</v>
      </c>
      <c r="G67" s="22">
        <f>'Elec Futures'!I67</f>
        <v>0</v>
      </c>
      <c r="H67" s="131"/>
      <c r="I67" s="22">
        <f>IFERROR('NG Futures'!$I73*HR_Low_Plant/1000,"Data Missing")</f>
        <v>25.95980384571056</v>
      </c>
      <c r="J67" s="22">
        <f>IFERROR('NG Futures'!$I73*HR_High_Plant/1000,"Data Missing")</f>
        <v>17.877667272168399</v>
      </c>
      <c r="K67" s="131"/>
      <c r="L67" s="22">
        <f ca="1">IFERROR(INDEX(Spark_Spread_On,MATCH($C67,Adjustments!$H$3:$H$14,0),1)+IF(INDEX(Spark_Spread_On,MATCH($C67,Adjustments!$H$3:$H$14,0),1)&gt;1,INDEX(Spark_Spread_On,MATCH($C67,Adjustments!$H$3:$H$14,0),1)*(Inflation_Rate+BLS_Esc_Rate),-INDEX(Spark_Spread_On,MATCH($C67,Adjustments!$H$3:$H$14,0),1)*(Inflation_Rate+BLS_Esc_Rate)),"Data Missing")</f>
        <v>26.985629754035614</v>
      </c>
      <c r="M67" s="22">
        <f ca="1">IFERROR(INDEX(Spark_Spread_Off,MATCH($C67,Adjustments!$H$3:$H$14,0),1)+IF(INDEX(Spark_Spread_Off,MATCH($C67,Adjustments!$H$3:$H$14,0),1)&gt;1,INDEX(Spark_Spread_Off,MATCH($C67,Adjustments!$H$3:$H$14,0),1)*(Inflation_Rate+BLS_Esc_Rate),-INDEX(Spark_Spread_Off,MATCH($C67,Adjustments!$H$3:$H$14,0),1)*(Inflation_Rate+BLS_Esc_Rate)),"Data Missing")</f>
        <v>16.780298980176973</v>
      </c>
      <c r="N67" s="131"/>
      <c r="O67" s="15">
        <f t="shared" ca="1" si="9"/>
        <v>52.945433599746174</v>
      </c>
      <c r="P67" s="15">
        <f t="shared" ca="1" si="8"/>
        <v>34.657966252345375</v>
      </c>
    </row>
    <row r="68" spans="1:16" x14ac:dyDescent="0.25">
      <c r="A68" s="3">
        <v>66</v>
      </c>
      <c r="B68" s="19">
        <f t="shared" si="10"/>
        <v>48000</v>
      </c>
      <c r="C68" s="9" t="str">
        <f t="shared" ref="C68:C131" si="11">CHOOSE(MONTH(B68), "Jan", "Feb", "Mar", "Apr", "May", "Jun", "Jul", "Aug", "Sep", "Oct", "Nov", "Dec")</f>
        <v>Jun</v>
      </c>
      <c r="D68" s="9">
        <f t="shared" ref="D68:D131" si="12">YEAR(B68)</f>
        <v>2031</v>
      </c>
      <c r="E68" s="9" t="str">
        <f>INDEX(Seasons,MATCH($C68,'General Inputs'!$B$20:$B$31,0),1)</f>
        <v>Summer</v>
      </c>
      <c r="F68" s="22">
        <f>'Elec Futures'!H68</f>
        <v>0</v>
      </c>
      <c r="G68" s="22">
        <f>'Elec Futures'!I68</f>
        <v>0</v>
      </c>
      <c r="H68" s="131"/>
      <c r="I68" s="22">
        <f>IFERROR('NG Futures'!$I74*HR_Low_Plant/1000,"Data Missing")</f>
        <v>26.051680085543008</v>
      </c>
      <c r="J68" s="22">
        <f>IFERROR('NG Futures'!$I74*HR_High_Plant/1000,"Data Missing")</f>
        <v>17.940939431530797</v>
      </c>
      <c r="K68" s="131"/>
      <c r="L68" s="22">
        <f ca="1">IFERROR(INDEX(Spark_Spread_On,MATCH($C68,Adjustments!$H$3:$H$14,0),1)+IF(INDEX(Spark_Spread_On,MATCH($C68,Adjustments!$H$3:$H$14,0),1)&gt;1,INDEX(Spark_Spread_On,MATCH($C68,Adjustments!$H$3:$H$14,0),1)*(Inflation_Rate+BLS_Esc_Rate),-INDEX(Spark_Spread_On,MATCH($C68,Adjustments!$H$3:$H$14,0),1)*(Inflation_Rate+BLS_Esc_Rate)),"Data Missing")</f>
        <v>32.794481155748485</v>
      </c>
      <c r="M68" s="22">
        <f ca="1">IFERROR(INDEX(Spark_Spread_Off,MATCH($C68,Adjustments!$H$3:$H$14,0),1)+IF(INDEX(Spark_Spread_Off,MATCH($C68,Adjustments!$H$3:$H$14,0),1)&gt;1,INDEX(Spark_Spread_Off,MATCH($C68,Adjustments!$H$3:$H$14,0),1)*(Inflation_Rate+BLS_Esc_Rate),-INDEX(Spark_Spread_Off,MATCH($C68,Adjustments!$H$3:$H$14,0),1)*(Inflation_Rate+BLS_Esc_Rate)),"Data Missing")</f>
        <v>16.358897919725173</v>
      </c>
      <c r="N68" s="131"/>
      <c r="O68" s="15">
        <f t="shared" ca="1" si="9"/>
        <v>58.846161241291497</v>
      </c>
      <c r="P68" s="15">
        <f t="shared" ca="1" si="8"/>
        <v>34.299837351255974</v>
      </c>
    </row>
    <row r="69" spans="1:16" x14ac:dyDescent="0.25">
      <c r="A69" s="3">
        <v>67</v>
      </c>
      <c r="B69" s="19">
        <f t="shared" si="10"/>
        <v>48030</v>
      </c>
      <c r="C69" s="9" t="str">
        <f t="shared" si="11"/>
        <v>Jul</v>
      </c>
      <c r="D69" s="9">
        <f t="shared" si="12"/>
        <v>2031</v>
      </c>
      <c r="E69" s="9" t="str">
        <f>INDEX(Seasons,MATCH($C69,'General Inputs'!$B$20:$B$31,0),1)</f>
        <v>Summer</v>
      </c>
      <c r="F69" s="22">
        <f>'Elec Futures'!H69</f>
        <v>0</v>
      </c>
      <c r="G69" s="22">
        <f>'Elec Futures'!I69</f>
        <v>0</v>
      </c>
      <c r="H69" s="131"/>
      <c r="I69" s="22">
        <f>IFERROR('NG Futures'!$I75*HR_Low_Plant/1000,"Data Missing")</f>
        <v>27.097506236087209</v>
      </c>
      <c r="J69" s="22">
        <f>IFERROR('NG Futures'!$I75*HR_High_Plant/1000,"Data Missing")</f>
        <v>18.661165672648995</v>
      </c>
      <c r="K69" s="131"/>
      <c r="L69" s="22">
        <f ca="1">IFERROR(INDEX(Spark_Spread_On,MATCH($C69,Adjustments!$H$3:$H$14,0),1)+IF(INDEX(Spark_Spread_On,MATCH($C69,Adjustments!$H$3:$H$14,0),1)&gt;1,INDEX(Spark_Spread_On,MATCH($C69,Adjustments!$H$3:$H$14,0),1)*(Inflation_Rate+BLS_Esc_Rate),-INDEX(Spark_Spread_On,MATCH($C69,Adjustments!$H$3:$H$14,0),1)*(Inflation_Rate+BLS_Esc_Rate)),"Data Missing")</f>
        <v>60.778479645687867</v>
      </c>
      <c r="M69" s="22">
        <f ca="1">IFERROR(INDEX(Spark_Spread_Off,MATCH($C69,Adjustments!$H$3:$H$14,0),1)+IF(INDEX(Spark_Spread_Off,MATCH($C69,Adjustments!$H$3:$H$14,0),1)&gt;1,INDEX(Spark_Spread_Off,MATCH($C69,Adjustments!$H$3:$H$14,0),1)*(Inflation_Rate+BLS_Esc_Rate),-INDEX(Spark_Spread_Off,MATCH($C69,Adjustments!$H$3:$H$14,0),1)*(Inflation_Rate+BLS_Esc_Rate)),"Data Missing")</f>
        <v>23.644134063075864</v>
      </c>
      <c r="N69" s="131"/>
      <c r="O69" s="15">
        <f t="shared" ca="1" si="9"/>
        <v>87.87598588177508</v>
      </c>
      <c r="P69" s="15">
        <f t="shared" ca="1" si="8"/>
        <v>42.305299735724859</v>
      </c>
    </row>
    <row r="70" spans="1:16" x14ac:dyDescent="0.25">
      <c r="A70" s="3">
        <v>68</v>
      </c>
      <c r="B70" s="19">
        <f t="shared" si="10"/>
        <v>48061</v>
      </c>
      <c r="C70" s="9" t="str">
        <f t="shared" si="11"/>
        <v>Aug</v>
      </c>
      <c r="D70" s="9">
        <f t="shared" si="12"/>
        <v>2031</v>
      </c>
      <c r="E70" s="9" t="str">
        <f>INDEX(Seasons,MATCH($C70,'General Inputs'!$B$20:$B$31,0),1)</f>
        <v>Summer</v>
      </c>
      <c r="F70" s="22">
        <f>'Elec Futures'!H70</f>
        <v>0</v>
      </c>
      <c r="G70" s="22">
        <f>'Elec Futures'!I70</f>
        <v>0</v>
      </c>
      <c r="H70" s="131"/>
      <c r="I70" s="22">
        <f>IFERROR('NG Futures'!$I76*HR_Low_Plant/1000,"Data Missing")</f>
        <v>27.181143274130395</v>
      </c>
      <c r="J70" s="22">
        <f>IFERROR('NG Futures'!$I76*HR_High_Plant/1000,"Data Missing")</f>
        <v>18.71876376339932</v>
      </c>
      <c r="K70" s="131"/>
      <c r="L70" s="22">
        <f ca="1">IFERROR(INDEX(Spark_Spread_On,MATCH($C70,Adjustments!$H$3:$H$14,0),1)+IF(INDEX(Spark_Spread_On,MATCH($C70,Adjustments!$H$3:$H$14,0),1)&gt;1,INDEX(Spark_Spread_On,MATCH($C70,Adjustments!$H$3:$H$14,0),1)*(Inflation_Rate+BLS_Esc_Rate),-INDEX(Spark_Spread_On,MATCH($C70,Adjustments!$H$3:$H$14,0),1)*(Inflation_Rate+BLS_Esc_Rate)),"Data Missing")</f>
        <v>48.689674403055982</v>
      </c>
      <c r="M70" s="22">
        <f ca="1">IFERROR(INDEX(Spark_Spread_Off,MATCH($C70,Adjustments!$H$3:$H$14,0),1)+IF(INDEX(Spark_Spread_Off,MATCH($C70,Adjustments!$H$3:$H$14,0),1)&gt;1,INDEX(Spark_Spread_Off,MATCH($C70,Adjustments!$H$3:$H$14,0),1)*(Inflation_Rate+BLS_Esc_Rate),-INDEX(Spark_Spread_Off,MATCH($C70,Adjustments!$H$3:$H$14,0),1)*(Inflation_Rate+BLS_Esc_Rate)),"Data Missing")</f>
        <v>19.08142511960634</v>
      </c>
      <c r="N70" s="131"/>
      <c r="O70" s="15">
        <f t="shared" ca="1" si="9"/>
        <v>75.87081767718638</v>
      </c>
      <c r="P70" s="15">
        <f t="shared" ca="1" si="8"/>
        <v>37.80018888300566</v>
      </c>
    </row>
    <row r="71" spans="1:16" x14ac:dyDescent="0.25">
      <c r="A71" s="3">
        <v>69</v>
      </c>
      <c r="B71" s="19">
        <f t="shared" si="10"/>
        <v>48092</v>
      </c>
      <c r="C71" s="9" t="str">
        <f t="shared" si="11"/>
        <v>Sep</v>
      </c>
      <c r="D71" s="9">
        <f t="shared" si="12"/>
        <v>2031</v>
      </c>
      <c r="E71" s="9" t="str">
        <f>INDEX(Seasons,MATCH($C71,'General Inputs'!$B$20:$B$31,0),1)</f>
        <v>Summer</v>
      </c>
      <c r="F71" s="22">
        <f>'Elec Futures'!H71</f>
        <v>0</v>
      </c>
      <c r="G71" s="22">
        <f>'Elec Futures'!I71</f>
        <v>0</v>
      </c>
      <c r="H71" s="131"/>
      <c r="I71" s="22">
        <f>IFERROR('NG Futures'!$I77*HR_Low_Plant/1000,"Data Missing")</f>
        <v>22.616211323819183</v>
      </c>
      <c r="J71" s="22">
        <f>IFERROR('NG Futures'!$I77*HR_High_Plant/1000,"Data Missing")</f>
        <v>15.575044534517724</v>
      </c>
      <c r="K71" s="131"/>
      <c r="L71" s="22">
        <f ca="1">IFERROR(INDEX(Spark_Spread_On,MATCH($C71,Adjustments!$H$3:$H$14,0),1)+IF(INDEX(Spark_Spread_On,MATCH($C71,Adjustments!$H$3:$H$14,0),1)&gt;1,INDEX(Spark_Spread_On,MATCH($C71,Adjustments!$H$3:$H$14,0),1)*(Inflation_Rate+BLS_Esc_Rate),-INDEX(Spark_Spread_On,MATCH($C71,Adjustments!$H$3:$H$14,0),1)*(Inflation_Rate+BLS_Esc_Rate)),"Data Missing")</f>
        <v>33.852941430998882</v>
      </c>
      <c r="M71" s="22">
        <f ca="1">IFERROR(INDEX(Spark_Spread_Off,MATCH($C71,Adjustments!$H$3:$H$14,0),1)+IF(INDEX(Spark_Spread_Off,MATCH($C71,Adjustments!$H$3:$H$14,0),1)&gt;1,INDEX(Spark_Spread_Off,MATCH($C71,Adjustments!$H$3:$H$14,0),1)*(Inflation_Rate+BLS_Esc_Rate),-INDEX(Spark_Spread_Off,MATCH($C71,Adjustments!$H$3:$H$14,0),1)*(Inflation_Rate+BLS_Esc_Rate)),"Data Missing")</f>
        <v>17.63955138931739</v>
      </c>
      <c r="N71" s="131"/>
      <c r="O71" s="15">
        <f t="shared" ca="1" si="9"/>
        <v>56.469152754818069</v>
      </c>
      <c r="P71" s="15">
        <f t="shared" ca="1" si="8"/>
        <v>33.214595923835113</v>
      </c>
    </row>
    <row r="72" spans="1:16" x14ac:dyDescent="0.25">
      <c r="A72" s="3">
        <v>70</v>
      </c>
      <c r="B72" s="19">
        <f t="shared" si="10"/>
        <v>48122</v>
      </c>
      <c r="C72" s="9" t="str">
        <f t="shared" si="11"/>
        <v>Oct</v>
      </c>
      <c r="D72" s="9">
        <f t="shared" si="12"/>
        <v>2031</v>
      </c>
      <c r="E72" s="9" t="str">
        <f>INDEX(Seasons,MATCH($C72,'General Inputs'!$B$20:$B$31,0),1)</f>
        <v>Shoulder</v>
      </c>
      <c r="F72" s="22">
        <f>'Elec Futures'!H72</f>
        <v>0</v>
      </c>
      <c r="G72" s="22">
        <f>'Elec Futures'!I72</f>
        <v>0</v>
      </c>
      <c r="H72" s="131"/>
      <c r="I72" s="22">
        <f>IFERROR('NG Futures'!$I78*HR_Low_Plant/1000,"Data Missing")</f>
        <v>23.038666602834169</v>
      </c>
      <c r="J72" s="22">
        <f>IFERROR('NG Futures'!$I78*HR_High_Plant/1000,"Data Missing")</f>
        <v>15.865975658669841</v>
      </c>
      <c r="K72" s="131"/>
      <c r="L72" s="22">
        <f ca="1">IFERROR(INDEX(Spark_Spread_On,MATCH($C72,Adjustments!$H$3:$H$14,0),1)+IF(INDEX(Spark_Spread_On,MATCH($C72,Adjustments!$H$3:$H$14,0),1)&gt;1,INDEX(Spark_Spread_On,MATCH($C72,Adjustments!$H$3:$H$14,0),1)*(Inflation_Rate+BLS_Esc_Rate),-INDEX(Spark_Spread_On,MATCH($C72,Adjustments!$H$3:$H$14,0),1)*(Inflation_Rate+BLS_Esc_Rate)),"Data Missing")</f>
        <v>29.40002941858754</v>
      </c>
      <c r="M72" s="22">
        <f ca="1">IFERROR(INDEX(Spark_Spread_Off,MATCH($C72,Adjustments!$H$3:$H$14,0),1)+IF(INDEX(Spark_Spread_Off,MATCH($C72,Adjustments!$H$3:$H$14,0),1)&gt;1,INDEX(Spark_Spread_Off,MATCH($C72,Adjustments!$H$3:$H$14,0),1)*(Inflation_Rate+BLS_Esc_Rate),-INDEX(Spark_Spread_Off,MATCH($C72,Adjustments!$H$3:$H$14,0),1)*(Inflation_Rate+BLS_Esc_Rate)),"Data Missing")</f>
        <v>20.150009298264372</v>
      </c>
      <c r="N72" s="131"/>
      <c r="O72" s="15">
        <f t="shared" ca="1" si="9"/>
        <v>52.438696021421705</v>
      </c>
      <c r="P72" s="15">
        <f t="shared" ca="1" si="8"/>
        <v>36.015984956934211</v>
      </c>
    </row>
    <row r="73" spans="1:16" x14ac:dyDescent="0.25">
      <c r="A73" s="3">
        <v>71</v>
      </c>
      <c r="B73" s="19">
        <f t="shared" si="10"/>
        <v>48153</v>
      </c>
      <c r="C73" s="9" t="str">
        <f t="shared" si="11"/>
        <v>Nov</v>
      </c>
      <c r="D73" s="9">
        <f t="shared" si="12"/>
        <v>2031</v>
      </c>
      <c r="E73" s="9" t="str">
        <f>INDEX(Seasons,MATCH($C73,'General Inputs'!$B$20:$B$31,0),1)</f>
        <v>Shoulder</v>
      </c>
      <c r="F73" s="22">
        <f>'Elec Futures'!H73</f>
        <v>0</v>
      </c>
      <c r="G73" s="22">
        <f>'Elec Futures'!I73</f>
        <v>0</v>
      </c>
      <c r="H73" s="131"/>
      <c r="I73" s="22">
        <f>IFERROR('NG Futures'!$I79*HR_Low_Plant/1000,"Data Missing")</f>
        <v>30.961056791019107</v>
      </c>
      <c r="J73" s="22">
        <f>IFERROR('NG Futures'!$I79*HR_High_Plant/1000,"Data Missing")</f>
        <v>21.321866489989223</v>
      </c>
      <c r="K73" s="131"/>
      <c r="L73" s="22">
        <f ca="1">IFERROR(INDEX(Spark_Spread_On,MATCH($C73,Adjustments!$H$3:$H$14,0),1)+IF(INDEX(Spark_Spread_On,MATCH($C73,Adjustments!$H$3:$H$14,0),1)&gt;1,INDEX(Spark_Spread_On,MATCH($C73,Adjustments!$H$3:$H$14,0),1)*(Inflation_Rate+BLS_Esc_Rate),-INDEX(Spark_Spread_On,MATCH($C73,Adjustments!$H$3:$H$14,0),1)*(Inflation_Rate+BLS_Esc_Rate)),"Data Missing")</f>
        <v>22.485829134622783</v>
      </c>
      <c r="M73" s="22">
        <f ca="1">IFERROR(INDEX(Spark_Spread_Off,MATCH($C73,Adjustments!$H$3:$H$14,0),1)+IF(INDEX(Spark_Spread_Off,MATCH($C73,Adjustments!$H$3:$H$14,0),1)&gt;1,INDEX(Spark_Spread_Off,MATCH($C73,Adjustments!$H$3:$H$14,0),1)*(Inflation_Rate+BLS_Esc_Rate),-INDEX(Spark_Spread_Off,MATCH($C73,Adjustments!$H$3:$H$14,0),1)*(Inflation_Rate+BLS_Esc_Rate)),"Data Missing")</f>
        <v>20.092402274981513</v>
      </c>
      <c r="N73" s="131"/>
      <c r="O73" s="15">
        <f ca="1">IFERROR(I73+L73, "Data Missing")</f>
        <v>53.446885925641894</v>
      </c>
      <c r="P73" s="15">
        <f t="shared" ca="1" si="8"/>
        <v>41.414268764970736</v>
      </c>
    </row>
    <row r="74" spans="1:16" x14ac:dyDescent="0.25">
      <c r="A74" s="3">
        <v>72</v>
      </c>
      <c r="B74" s="19">
        <f t="shared" si="10"/>
        <v>48183</v>
      </c>
      <c r="C74" s="9" t="str">
        <f t="shared" si="11"/>
        <v>Dec</v>
      </c>
      <c r="D74" s="9">
        <f t="shared" si="12"/>
        <v>2031</v>
      </c>
      <c r="E74" s="9" t="str">
        <f>INDEX(Seasons,MATCH($C74,'General Inputs'!$B$20:$B$31,0),1)</f>
        <v>Winter</v>
      </c>
      <c r="F74" s="22">
        <f>'Elec Futures'!H74</f>
        <v>0</v>
      </c>
      <c r="G74" s="22">
        <f>'Elec Futures'!I74</f>
        <v>0</v>
      </c>
      <c r="H74" s="131"/>
      <c r="I74" s="22">
        <f>IFERROR('NG Futures'!$I80*HR_Low_Plant/1000,"Data Missing")</f>
        <v>52.878140357824684</v>
      </c>
      <c r="J74" s="22">
        <f>IFERROR('NG Futures'!$I80*HR_High_Plant/1000,"Data Missing")</f>
        <v>36.415444619948886</v>
      </c>
      <c r="K74" s="131"/>
      <c r="L74" s="22">
        <f ca="1">IFERROR(INDEX(Spark_Spread_On,MATCH($C74,Adjustments!$H$3:$H$14,0),1)+IF(INDEX(Spark_Spread_On,MATCH($C74,Adjustments!$H$3:$H$14,0),1)&gt;1,INDEX(Spark_Spread_On,MATCH($C74,Adjustments!$H$3:$H$14,0),1)*(Inflation_Rate+BLS_Esc_Rate),-INDEX(Spark_Spread_On,MATCH($C74,Adjustments!$H$3:$H$14,0),1)*(Inflation_Rate+BLS_Esc_Rate)),"Data Missing")</f>
        <v>11.430346668590539</v>
      </c>
      <c r="M74" s="22">
        <f ca="1">IFERROR(INDEX(Spark_Spread_Off,MATCH($C74,Adjustments!$H$3:$H$14,0),1)+IF(INDEX(Spark_Spread_Off,MATCH($C74,Adjustments!$H$3:$H$14,0),1)&gt;1,INDEX(Spark_Spread_Off,MATCH($C74,Adjustments!$H$3:$H$14,0),1)*(Inflation_Rate+BLS_Esc_Rate),-INDEX(Spark_Spread_Off,MATCH($C74,Adjustments!$H$3:$H$14,0),1)*(Inflation_Rate+BLS_Esc_Rate)),"Data Missing")</f>
        <v>16.391451942721986</v>
      </c>
      <c r="N74" s="131"/>
      <c r="O74" s="15">
        <f t="shared" ca="1" si="9"/>
        <v>64.308487026415222</v>
      </c>
      <c r="P74" s="15">
        <f t="shared" ca="1" si="8"/>
        <v>52.806896562670872</v>
      </c>
    </row>
    <row r="75" spans="1:16" x14ac:dyDescent="0.25">
      <c r="A75" s="3">
        <v>73</v>
      </c>
      <c r="B75" s="19">
        <f t="shared" si="10"/>
        <v>48214</v>
      </c>
      <c r="C75" s="9" t="str">
        <f t="shared" si="11"/>
        <v>Jan</v>
      </c>
      <c r="D75" s="9">
        <f t="shared" si="12"/>
        <v>2032</v>
      </c>
      <c r="E75" s="9" t="str">
        <f>INDEX(Seasons,MATCH($C75,'General Inputs'!$B$20:$B$31,0),1)</f>
        <v>Winter</v>
      </c>
      <c r="F75" s="22">
        <f>'Elec Futures'!H75</f>
        <v>0</v>
      </c>
      <c r="G75" s="22">
        <f>'Elec Futures'!I75</f>
        <v>0</v>
      </c>
      <c r="H75" s="131"/>
      <c r="I75" s="22">
        <f>IFERROR('NG Futures'!$I81*HR_Low_Plant/1000,"Data Missing")</f>
        <v>80.285269632716776</v>
      </c>
      <c r="J75" s="22">
        <f>IFERROR('NG Futures'!$I81*HR_High_Plant/1000,"Data Missing")</f>
        <v>55.289837545794796</v>
      </c>
      <c r="K75" s="131"/>
      <c r="L75" s="22">
        <f ca="1">IFERROR(INDEX(Spark_Spread_On,MATCH($C75,Adjustments!$H$3:$H$14,0),1)+IF(INDEX(Spark_Spread_On,MATCH($C75,Adjustments!$H$3:$H$14,0),1)&gt;1,INDEX(Spark_Spread_On,MATCH($C75,Adjustments!$H$3:$H$14,0),1)*(Inflation_Rate+BLS_Esc_Rate),-INDEX(Spark_Spread_On,MATCH($C75,Adjustments!$H$3:$H$14,0),1)*(Inflation_Rate+BLS_Esc_Rate)),"Data Missing")</f>
        <v>5.8685378940686794</v>
      </c>
      <c r="M75" s="22">
        <f ca="1">IFERROR(INDEX(Spark_Spread_Off,MATCH($C75,Adjustments!$H$3:$H$14,0),1)+IF(INDEX(Spark_Spread_Off,MATCH($C75,Adjustments!$H$3:$H$14,0),1)&gt;1,INDEX(Spark_Spread_Off,MATCH($C75,Adjustments!$H$3:$H$14,0),1)*(Inflation_Rate+BLS_Esc_Rate),-INDEX(Spark_Spread_Off,MATCH($C75,Adjustments!$H$3:$H$14,0),1)*(Inflation_Rate+BLS_Esc_Rate)),"Data Missing")</f>
        <v>16.761915371452087</v>
      </c>
      <c r="N75" s="131"/>
      <c r="O75" s="15">
        <f t="shared" ca="1" si="9"/>
        <v>86.153807526785457</v>
      </c>
      <c r="P75" s="15">
        <f t="shared" ca="1" si="8"/>
        <v>72.051752917246887</v>
      </c>
    </row>
    <row r="76" spans="1:16" x14ac:dyDescent="0.25">
      <c r="A76" s="3">
        <v>74</v>
      </c>
      <c r="B76" s="19">
        <f t="shared" si="10"/>
        <v>48245</v>
      </c>
      <c r="C76" s="9" t="str">
        <f t="shared" si="11"/>
        <v>Feb</v>
      </c>
      <c r="D76" s="9">
        <f t="shared" si="12"/>
        <v>2032</v>
      </c>
      <c r="E76" s="9" t="str">
        <f>INDEX(Seasons,MATCH($C76,'General Inputs'!$B$20:$B$31,0),1)</f>
        <v>Winter</v>
      </c>
      <c r="F76" s="22">
        <f>'Elec Futures'!H76</f>
        <v>0</v>
      </c>
      <c r="G76" s="22">
        <f>'Elec Futures'!I76</f>
        <v>0</v>
      </c>
      <c r="H76" s="131"/>
      <c r="I76" s="22">
        <f>IFERROR('NG Futures'!$I82*HR_Low_Plant/1000,"Data Missing")</f>
        <v>70.785324301144684</v>
      </c>
      <c r="J76" s="22">
        <f>IFERROR('NG Futures'!$I82*HR_High_Plant/1000,"Data Missing")</f>
        <v>48.747536118902545</v>
      </c>
      <c r="K76" s="131"/>
      <c r="L76" s="22">
        <f ca="1">IFERROR(INDEX(Spark_Spread_On,MATCH($C76,Adjustments!$H$3:$H$14,0),1)+IF(INDEX(Spark_Spread_On,MATCH($C76,Adjustments!$H$3:$H$14,0),1)&gt;1,INDEX(Spark_Spread_On,MATCH($C76,Adjustments!$H$3:$H$14,0),1)*(Inflation_Rate+BLS_Esc_Rate),-INDEX(Spark_Spread_On,MATCH($C76,Adjustments!$H$3:$H$14,0),1)*(Inflation_Rate+BLS_Esc_Rate)),"Data Missing")</f>
        <v>5.7233949711767895</v>
      </c>
      <c r="M76" s="22">
        <f ca="1">IFERROR(INDEX(Spark_Spread_Off,MATCH($C76,Adjustments!$H$3:$H$14,0),1)+IF(INDEX(Spark_Spread_Off,MATCH($C76,Adjustments!$H$3:$H$14,0),1)&gt;1,INDEX(Spark_Spread_Off,MATCH($C76,Adjustments!$H$3:$H$14,0),1)*(Inflation_Rate+BLS_Esc_Rate),-INDEX(Spark_Spread_Off,MATCH($C76,Adjustments!$H$3:$H$14,0),1)*(Inflation_Rate+BLS_Esc_Rate)),"Data Missing")</f>
        <v>15.231728502085021</v>
      </c>
      <c r="N76" s="131"/>
      <c r="O76" s="15">
        <f t="shared" ca="1" si="9"/>
        <v>76.508719272321471</v>
      </c>
      <c r="P76" s="15">
        <f t="shared" ca="1" si="8"/>
        <v>63.979264620987564</v>
      </c>
    </row>
    <row r="77" spans="1:16" x14ac:dyDescent="0.25">
      <c r="A77" s="3">
        <v>75</v>
      </c>
      <c r="B77" s="19">
        <f t="shared" si="10"/>
        <v>48274</v>
      </c>
      <c r="C77" s="9" t="str">
        <f t="shared" si="11"/>
        <v>Mar</v>
      </c>
      <c r="D77" s="9">
        <f t="shared" si="12"/>
        <v>2032</v>
      </c>
      <c r="E77" s="9" t="str">
        <f>INDEX(Seasons,MATCH($C77,'General Inputs'!$B$20:$B$31,0),1)</f>
        <v>Shoulder</v>
      </c>
      <c r="F77" s="22">
        <f>'Elec Futures'!H77</f>
        <v>0</v>
      </c>
      <c r="G77" s="22">
        <f>'Elec Futures'!I77</f>
        <v>0</v>
      </c>
      <c r="H77" s="131"/>
      <c r="I77" s="22">
        <f>IFERROR('NG Futures'!$I83*HR_Low_Plant/1000,"Data Missing")</f>
        <v>36.675923144609158</v>
      </c>
      <c r="J77" s="22">
        <f>IFERROR('NG Futures'!$I83*HR_High_Plant/1000,"Data Missing")</f>
        <v>25.257507906296567</v>
      </c>
      <c r="K77" s="131"/>
      <c r="L77" s="22">
        <f ca="1">IFERROR(INDEX(Spark_Spread_On,MATCH($C77,Adjustments!$H$3:$H$14,0),1)+IF(INDEX(Spark_Spread_On,MATCH($C77,Adjustments!$H$3:$H$14,0),1)&gt;1,INDEX(Spark_Spread_On,MATCH($C77,Adjustments!$H$3:$H$14,0),1)*(Inflation_Rate+BLS_Esc_Rate),-INDEX(Spark_Spread_On,MATCH($C77,Adjustments!$H$3:$H$14,0),1)*(Inflation_Rate+BLS_Esc_Rate)),"Data Missing")</f>
        <v>16.528539996336317</v>
      </c>
      <c r="M77" s="22">
        <f ca="1">IFERROR(INDEX(Spark_Spread_Off,MATCH($C77,Adjustments!$H$3:$H$14,0),1)+IF(INDEX(Spark_Spread_Off,MATCH($C77,Adjustments!$H$3:$H$14,0),1)&gt;1,INDEX(Spark_Spread_Off,MATCH($C77,Adjustments!$H$3:$H$14,0),1)*(Inflation_Rate+BLS_Esc_Rate),-INDEX(Spark_Spread_Off,MATCH($C77,Adjustments!$H$3:$H$14,0),1)*(Inflation_Rate+BLS_Esc_Rate)),"Data Missing")</f>
        <v>18.910646100880385</v>
      </c>
      <c r="N77" s="131"/>
      <c r="O77" s="15">
        <f t="shared" ca="1" si="9"/>
        <v>53.204463140945478</v>
      </c>
      <c r="P77" s="15">
        <f t="shared" ca="1" si="8"/>
        <v>44.168154007176952</v>
      </c>
    </row>
    <row r="78" spans="1:16" x14ac:dyDescent="0.25">
      <c r="A78" s="3">
        <v>76</v>
      </c>
      <c r="B78" s="19">
        <f t="shared" si="10"/>
        <v>48305</v>
      </c>
      <c r="C78" s="9" t="str">
        <f t="shared" si="11"/>
        <v>Apr</v>
      </c>
      <c r="D78" s="9">
        <f t="shared" si="12"/>
        <v>2032</v>
      </c>
      <c r="E78" s="9" t="str">
        <f>INDEX(Seasons,MATCH($C78,'General Inputs'!$B$20:$B$31,0),1)</f>
        <v>Shoulder</v>
      </c>
      <c r="F78" s="22">
        <f>'Elec Futures'!H78</f>
        <v>0</v>
      </c>
      <c r="G78" s="22">
        <f>'Elec Futures'!I78</f>
        <v>0</v>
      </c>
      <c r="H78" s="131"/>
      <c r="I78" s="22">
        <f>IFERROR('NG Futures'!$I84*HR_Low_Plant/1000,"Data Missing")</f>
        <v>29.355906204757488</v>
      </c>
      <c r="J78" s="22">
        <f>IFERROR('NG Futures'!$I84*HR_High_Plant/1000,"Data Missing")</f>
        <v>20.216451816077775</v>
      </c>
      <c r="K78" s="131"/>
      <c r="L78" s="22">
        <f ca="1">IFERROR(INDEX(Spark_Spread_On,MATCH($C78,Adjustments!$H$3:$H$14,0),1)+IF(INDEX(Spark_Spread_On,MATCH($C78,Adjustments!$H$3:$H$14,0),1)&gt;1,INDEX(Spark_Spread_On,MATCH($C78,Adjustments!$H$3:$H$14,0),1)*(Inflation_Rate+BLS_Esc_Rate),-INDEX(Spark_Spread_On,MATCH($C78,Adjustments!$H$3:$H$14,0),1)*(Inflation_Rate+BLS_Esc_Rate)),"Data Missing")</f>
        <v>22.38036101423787</v>
      </c>
      <c r="M78" s="22">
        <f ca="1">IFERROR(INDEX(Spark_Spread_Off,MATCH($C78,Adjustments!$H$3:$H$14,0),1)+IF(INDEX(Spark_Spread_Off,MATCH($C78,Adjustments!$H$3:$H$14,0),1)&gt;1,INDEX(Spark_Spread_Off,MATCH($C78,Adjustments!$H$3:$H$14,0),1)*(Inflation_Rate+BLS_Esc_Rate),-INDEX(Spark_Spread_Off,MATCH($C78,Adjustments!$H$3:$H$14,0),1)*(Inflation_Rate+BLS_Esc_Rate)),"Data Missing")</f>
        <v>18.258127438419208</v>
      </c>
      <c r="N78" s="131"/>
      <c r="O78" s="15">
        <f t="shared" ca="1" si="9"/>
        <v>51.736267218995359</v>
      </c>
      <c r="P78" s="15">
        <f t="shared" ca="1" si="8"/>
        <v>38.474579254496987</v>
      </c>
    </row>
    <row r="79" spans="1:16" x14ac:dyDescent="0.25">
      <c r="A79" s="3">
        <v>77</v>
      </c>
      <c r="B79" s="19">
        <f t="shared" si="10"/>
        <v>48335</v>
      </c>
      <c r="C79" s="9" t="str">
        <f t="shared" si="11"/>
        <v>May</v>
      </c>
      <c r="D79" s="9">
        <f t="shared" si="12"/>
        <v>2032</v>
      </c>
      <c r="E79" s="9" t="str">
        <f>INDEX(Seasons,MATCH($C79,'General Inputs'!$B$20:$B$31,0),1)</f>
        <v>Summer</v>
      </c>
      <c r="F79" s="22">
        <f>'Elec Futures'!H79</f>
        <v>0</v>
      </c>
      <c r="G79" s="22">
        <f>'Elec Futures'!I79</f>
        <v>0</v>
      </c>
      <c r="H79" s="131"/>
      <c r="I79" s="22">
        <f>IFERROR('NG Futures'!$I85*HR_Low_Plant/1000,"Data Missing")</f>
        <v>25.588291113564225</v>
      </c>
      <c r="J79" s="22">
        <f>IFERROR('NG Futures'!$I85*HR_High_Plant/1000,"Data Missing")</f>
        <v>17.621818612750122</v>
      </c>
      <c r="K79" s="131"/>
      <c r="L79" s="22">
        <f ca="1">IFERROR(INDEX(Spark_Spread_On,MATCH($C79,Adjustments!$H$3:$H$14,0),1)+IF(INDEX(Spark_Spread_On,MATCH($C79,Adjustments!$H$3:$H$14,0),1)&gt;1,INDEX(Spark_Spread_On,MATCH($C79,Adjustments!$H$3:$H$14,0),1)*(Inflation_Rate+BLS_Esc_Rate),-INDEX(Spark_Spread_On,MATCH($C79,Adjustments!$H$3:$H$14,0),1)*(Inflation_Rate+BLS_Esc_Rate)),"Data Missing")</f>
        <v>26.985629754035614</v>
      </c>
      <c r="M79" s="22">
        <f ca="1">IFERROR(INDEX(Spark_Spread_Off,MATCH($C79,Adjustments!$H$3:$H$14,0),1)+IF(INDEX(Spark_Spread_Off,MATCH($C79,Adjustments!$H$3:$H$14,0),1)&gt;1,INDEX(Spark_Spread_Off,MATCH($C79,Adjustments!$H$3:$H$14,0),1)*(Inflation_Rate+BLS_Esc_Rate),-INDEX(Spark_Spread_Off,MATCH($C79,Adjustments!$H$3:$H$14,0),1)*(Inflation_Rate+BLS_Esc_Rate)),"Data Missing")</f>
        <v>16.780298980176973</v>
      </c>
      <c r="N79" s="131"/>
      <c r="O79" s="15">
        <f t="shared" ca="1" si="9"/>
        <v>52.573920867599838</v>
      </c>
      <c r="P79" s="15">
        <f t="shared" ca="1" si="8"/>
        <v>34.402117592927098</v>
      </c>
    </row>
    <row r="80" spans="1:16" x14ac:dyDescent="0.25">
      <c r="A80" s="3">
        <v>78</v>
      </c>
      <c r="B80" s="19">
        <f t="shared" si="10"/>
        <v>48366</v>
      </c>
      <c r="C80" s="9" t="str">
        <f t="shared" si="11"/>
        <v>Jun</v>
      </c>
      <c r="D80" s="9">
        <f t="shared" si="12"/>
        <v>2032</v>
      </c>
      <c r="E80" s="9" t="str">
        <f>INDEX(Seasons,MATCH($C80,'General Inputs'!$B$20:$B$31,0),1)</f>
        <v>Summer</v>
      </c>
      <c r="F80" s="22">
        <f>'Elec Futures'!H80</f>
        <v>0</v>
      </c>
      <c r="G80" s="22">
        <f>'Elec Futures'!I80</f>
        <v>0</v>
      </c>
      <c r="H80" s="131"/>
      <c r="I80" s="22">
        <f>IFERROR('NG Futures'!$I86*HR_Low_Plant/1000,"Data Missing")</f>
        <v>25.810620888053325</v>
      </c>
      <c r="J80" s="22">
        <f>IFERROR('NG Futures'!$I86*HR_High_Plant/1000,"Data Missing")</f>
        <v>17.774929851827114</v>
      </c>
      <c r="K80" s="131"/>
      <c r="L80" s="22">
        <f ca="1">IFERROR(INDEX(Spark_Spread_On,MATCH($C80,Adjustments!$H$3:$H$14,0),1)+IF(INDEX(Spark_Spread_On,MATCH($C80,Adjustments!$H$3:$H$14,0),1)&gt;1,INDEX(Spark_Spread_On,MATCH($C80,Adjustments!$H$3:$H$14,0),1)*(Inflation_Rate+BLS_Esc_Rate),-INDEX(Spark_Spread_On,MATCH($C80,Adjustments!$H$3:$H$14,0),1)*(Inflation_Rate+BLS_Esc_Rate)),"Data Missing")</f>
        <v>32.794481155748485</v>
      </c>
      <c r="M80" s="22">
        <f ca="1">IFERROR(INDEX(Spark_Spread_Off,MATCH($C80,Adjustments!$H$3:$H$14,0),1)+IF(INDEX(Spark_Spread_Off,MATCH($C80,Adjustments!$H$3:$H$14,0),1)&gt;1,INDEX(Spark_Spread_Off,MATCH($C80,Adjustments!$H$3:$H$14,0),1)*(Inflation_Rate+BLS_Esc_Rate),-INDEX(Spark_Spread_Off,MATCH($C80,Adjustments!$H$3:$H$14,0),1)*(Inflation_Rate+BLS_Esc_Rate)),"Data Missing")</f>
        <v>16.358897919725173</v>
      </c>
      <c r="N80" s="131"/>
      <c r="O80" s="15">
        <f t="shared" ca="1" si="9"/>
        <v>58.605102043801807</v>
      </c>
      <c r="P80" s="15">
        <f t="shared" ca="1" si="8"/>
        <v>34.133827771552291</v>
      </c>
    </row>
    <row r="81" spans="1:16" x14ac:dyDescent="0.25">
      <c r="A81" s="3">
        <v>79</v>
      </c>
      <c r="B81" s="19">
        <f t="shared" si="10"/>
        <v>48396</v>
      </c>
      <c r="C81" s="9" t="str">
        <f t="shared" si="11"/>
        <v>Jul</v>
      </c>
      <c r="D81" s="9">
        <f t="shared" si="12"/>
        <v>2032</v>
      </c>
      <c r="E81" s="9" t="str">
        <f>INDEX(Seasons,MATCH($C81,'General Inputs'!$B$20:$B$31,0),1)</f>
        <v>Summer</v>
      </c>
      <c r="F81" s="22">
        <f>'Elec Futures'!H81</f>
        <v>0</v>
      </c>
      <c r="G81" s="22">
        <f>'Elec Futures'!I81</f>
        <v>0</v>
      </c>
      <c r="H81" s="131"/>
      <c r="I81" s="22">
        <f>IFERROR('NG Futures'!$I87*HR_Low_Plant/1000,"Data Missing")</f>
        <v>27.038835057921865</v>
      </c>
      <c r="J81" s="22">
        <f>IFERROR('NG Futures'!$I87*HR_High_Plant/1000,"Data Missing")</f>
        <v>18.620760752490884</v>
      </c>
      <c r="K81" s="131"/>
      <c r="L81" s="22">
        <f ca="1">IFERROR(INDEX(Spark_Spread_On,MATCH($C81,Adjustments!$H$3:$H$14,0),1)+IF(INDEX(Spark_Spread_On,MATCH($C81,Adjustments!$H$3:$H$14,0),1)&gt;1,INDEX(Spark_Spread_On,MATCH($C81,Adjustments!$H$3:$H$14,0),1)*(Inflation_Rate+BLS_Esc_Rate),-INDEX(Spark_Spread_On,MATCH($C81,Adjustments!$H$3:$H$14,0),1)*(Inflation_Rate+BLS_Esc_Rate)),"Data Missing")</f>
        <v>60.778479645687867</v>
      </c>
      <c r="M81" s="22">
        <f ca="1">IFERROR(INDEX(Spark_Spread_Off,MATCH($C81,Adjustments!$H$3:$H$14,0),1)+IF(INDEX(Spark_Spread_Off,MATCH($C81,Adjustments!$H$3:$H$14,0),1)&gt;1,INDEX(Spark_Spread_Off,MATCH($C81,Adjustments!$H$3:$H$14,0),1)*(Inflation_Rate+BLS_Esc_Rate),-INDEX(Spark_Spread_Off,MATCH($C81,Adjustments!$H$3:$H$14,0),1)*(Inflation_Rate+BLS_Esc_Rate)),"Data Missing")</f>
        <v>23.644134063075864</v>
      </c>
      <c r="N81" s="131"/>
      <c r="O81" s="15">
        <f t="shared" ca="1" si="9"/>
        <v>87.817314703609725</v>
      </c>
      <c r="P81" s="15">
        <f t="shared" ca="1" si="8"/>
        <v>42.264894815566748</v>
      </c>
    </row>
    <row r="82" spans="1:16" x14ac:dyDescent="0.25">
      <c r="A82" s="3">
        <v>80</v>
      </c>
      <c r="B82" s="19">
        <f t="shared" si="10"/>
        <v>48427</v>
      </c>
      <c r="C82" s="9" t="str">
        <f t="shared" si="11"/>
        <v>Aug</v>
      </c>
      <c r="D82" s="9">
        <f t="shared" si="12"/>
        <v>2032</v>
      </c>
      <c r="E82" s="9" t="str">
        <f>INDEX(Seasons,MATCH($C82,'General Inputs'!$B$20:$B$31,0),1)</f>
        <v>Summer</v>
      </c>
      <c r="F82" s="22">
        <f>'Elec Futures'!H82</f>
        <v>0</v>
      </c>
      <c r="G82" s="22">
        <f>'Elec Futures'!I82</f>
        <v>0</v>
      </c>
      <c r="H82" s="131"/>
      <c r="I82" s="22">
        <f>IFERROR('NG Futures'!$I88*HR_Low_Plant/1000,"Data Missing")</f>
        <v>27.227065260085581</v>
      </c>
      <c r="J82" s="22">
        <f>IFERROR('NG Futures'!$I88*HR_High_Plant/1000,"Data Missing")</f>
        <v>18.750388732149599</v>
      </c>
      <c r="K82" s="131"/>
      <c r="L82" s="22">
        <f ca="1">IFERROR(INDEX(Spark_Spread_On,MATCH($C82,Adjustments!$H$3:$H$14,0),1)+IF(INDEX(Spark_Spread_On,MATCH($C82,Adjustments!$H$3:$H$14,0),1)&gt;1,INDEX(Spark_Spread_On,MATCH($C82,Adjustments!$H$3:$H$14,0),1)*(Inflation_Rate+BLS_Esc_Rate),-INDEX(Spark_Spread_On,MATCH($C82,Adjustments!$H$3:$H$14,0),1)*(Inflation_Rate+BLS_Esc_Rate)),"Data Missing")</f>
        <v>48.689674403055982</v>
      </c>
      <c r="M82" s="22">
        <f ca="1">IFERROR(INDEX(Spark_Spread_Off,MATCH($C82,Adjustments!$H$3:$H$14,0),1)+IF(INDEX(Spark_Spread_Off,MATCH($C82,Adjustments!$H$3:$H$14,0),1)&gt;1,INDEX(Spark_Spread_Off,MATCH($C82,Adjustments!$H$3:$H$14,0),1)*(Inflation_Rate+BLS_Esc_Rate),-INDEX(Spark_Spread_Off,MATCH($C82,Adjustments!$H$3:$H$14,0),1)*(Inflation_Rate+BLS_Esc_Rate)),"Data Missing")</f>
        <v>19.08142511960634</v>
      </c>
      <c r="N82" s="131"/>
      <c r="O82" s="15">
        <f t="shared" ca="1" si="9"/>
        <v>75.916739663141556</v>
      </c>
      <c r="P82" s="15">
        <f t="shared" ca="1" si="8"/>
        <v>37.831813851755939</v>
      </c>
    </row>
    <row r="83" spans="1:16" x14ac:dyDescent="0.25">
      <c r="A83" s="3">
        <v>81</v>
      </c>
      <c r="B83" s="19">
        <f t="shared" si="10"/>
        <v>48458</v>
      </c>
      <c r="C83" s="9" t="str">
        <f t="shared" si="11"/>
        <v>Sep</v>
      </c>
      <c r="D83" s="9">
        <f t="shared" si="12"/>
        <v>2032</v>
      </c>
      <c r="E83" s="9" t="str">
        <f>INDEX(Seasons,MATCH($C83,'General Inputs'!$B$20:$B$31,0),1)</f>
        <v>Summer</v>
      </c>
      <c r="F83" s="22">
        <f>'Elec Futures'!H83</f>
        <v>0</v>
      </c>
      <c r="G83" s="22">
        <f>'Elec Futures'!I83</f>
        <v>0</v>
      </c>
      <c r="H83" s="131"/>
      <c r="I83" s="22">
        <f>IFERROR('NG Futures'!$I89*HR_Low_Plant/1000,"Data Missing")</f>
        <v>22.572316217781381</v>
      </c>
      <c r="J83" s="22">
        <f>IFERROR('NG Futures'!$I89*HR_High_Plant/1000,"Data Missing")</f>
        <v>15.544815411628957</v>
      </c>
      <c r="K83" s="131"/>
      <c r="L83" s="22">
        <f ca="1">IFERROR(INDEX(Spark_Spread_On,MATCH($C83,Adjustments!$H$3:$H$14,0),1)+IF(INDEX(Spark_Spread_On,MATCH($C83,Adjustments!$H$3:$H$14,0),1)&gt;1,INDEX(Spark_Spread_On,MATCH($C83,Adjustments!$H$3:$H$14,0),1)*(Inflation_Rate+BLS_Esc_Rate),-INDEX(Spark_Spread_On,MATCH($C83,Adjustments!$H$3:$H$14,0),1)*(Inflation_Rate+BLS_Esc_Rate)),"Data Missing")</f>
        <v>33.852941430998882</v>
      </c>
      <c r="M83" s="22">
        <f ca="1">IFERROR(INDEX(Spark_Spread_Off,MATCH($C83,Adjustments!$H$3:$H$14,0),1)+IF(INDEX(Spark_Spread_Off,MATCH($C83,Adjustments!$H$3:$H$14,0),1)&gt;1,INDEX(Spark_Spread_Off,MATCH($C83,Adjustments!$H$3:$H$14,0),1)*(Inflation_Rate+BLS_Esc_Rate),-INDEX(Spark_Spread_Off,MATCH($C83,Adjustments!$H$3:$H$14,0),1)*(Inflation_Rate+BLS_Esc_Rate)),"Data Missing")</f>
        <v>17.63955138931739</v>
      </c>
      <c r="N83" s="131"/>
      <c r="O83" s="15">
        <f t="shared" ca="1" si="9"/>
        <v>56.42525764878026</v>
      </c>
      <c r="P83" s="15">
        <f t="shared" ca="1" si="8"/>
        <v>33.18436680094635</v>
      </c>
    </row>
    <row r="84" spans="1:16" x14ac:dyDescent="0.25">
      <c r="A84" s="3">
        <v>82</v>
      </c>
      <c r="B84" s="19">
        <f t="shared" si="10"/>
        <v>48488</v>
      </c>
      <c r="C84" s="9" t="str">
        <f t="shared" si="11"/>
        <v>Oct</v>
      </c>
      <c r="D84" s="9">
        <f t="shared" si="12"/>
        <v>2032</v>
      </c>
      <c r="E84" s="9" t="str">
        <f>INDEX(Seasons,MATCH($C84,'General Inputs'!$B$20:$B$31,0),1)</f>
        <v>Shoulder</v>
      </c>
      <c r="F84" s="22">
        <f>'Elec Futures'!H84</f>
        <v>0</v>
      </c>
      <c r="G84" s="22">
        <f>'Elec Futures'!I84</f>
        <v>0</v>
      </c>
      <c r="H84" s="131"/>
      <c r="I84" s="22">
        <f>IFERROR('NG Futures'!$I90*HR_Low_Plant/1000,"Data Missing")</f>
        <v>23.110386848635034</v>
      </c>
      <c r="J84" s="22">
        <f>IFERROR('NG Futures'!$I90*HR_High_Plant/1000,"Data Missing")</f>
        <v>15.915367044626628</v>
      </c>
      <c r="K84" s="131"/>
      <c r="L84" s="22">
        <f ca="1">IFERROR(INDEX(Spark_Spread_On,MATCH($C84,Adjustments!$H$3:$H$14,0),1)+IF(INDEX(Spark_Spread_On,MATCH($C84,Adjustments!$H$3:$H$14,0),1)&gt;1,INDEX(Spark_Spread_On,MATCH($C84,Adjustments!$H$3:$H$14,0),1)*(Inflation_Rate+BLS_Esc_Rate),-INDEX(Spark_Spread_On,MATCH($C84,Adjustments!$H$3:$H$14,0),1)*(Inflation_Rate+BLS_Esc_Rate)),"Data Missing")</f>
        <v>29.40002941858754</v>
      </c>
      <c r="M84" s="22">
        <f ca="1">IFERROR(INDEX(Spark_Spread_Off,MATCH($C84,Adjustments!$H$3:$H$14,0),1)+IF(INDEX(Spark_Spread_Off,MATCH($C84,Adjustments!$H$3:$H$14,0),1)&gt;1,INDEX(Spark_Spread_Off,MATCH($C84,Adjustments!$H$3:$H$14,0),1)*(Inflation_Rate+BLS_Esc_Rate),-INDEX(Spark_Spread_Off,MATCH($C84,Adjustments!$H$3:$H$14,0),1)*(Inflation_Rate+BLS_Esc_Rate)),"Data Missing")</f>
        <v>20.150009298264372</v>
      </c>
      <c r="N84" s="131"/>
      <c r="O84" s="15">
        <f t="shared" ca="1" si="9"/>
        <v>52.510416267222574</v>
      </c>
      <c r="P84" s="15">
        <f t="shared" ca="1" si="8"/>
        <v>36.065376342891</v>
      </c>
    </row>
    <row r="85" spans="1:16" x14ac:dyDescent="0.25">
      <c r="A85" s="3">
        <v>83</v>
      </c>
      <c r="B85" s="19">
        <f t="shared" si="10"/>
        <v>48519</v>
      </c>
      <c r="C85" s="9" t="str">
        <f t="shared" si="11"/>
        <v>Nov</v>
      </c>
      <c r="D85" s="9">
        <f t="shared" si="12"/>
        <v>2032</v>
      </c>
      <c r="E85" s="9" t="str">
        <f>INDEX(Seasons,MATCH($C85,'General Inputs'!$B$20:$B$31,0),1)</f>
        <v>Shoulder</v>
      </c>
      <c r="F85" s="22">
        <f>'Elec Futures'!H85</f>
        <v>0</v>
      </c>
      <c r="G85" s="22">
        <f>'Elec Futures'!I85</f>
        <v>0</v>
      </c>
      <c r="H85" s="131"/>
      <c r="I85" s="22">
        <f>IFERROR('NG Futures'!$I91*HR_Low_Plant/1000,"Data Missing")</f>
        <v>31.662965419539198</v>
      </c>
      <c r="J85" s="22">
        <f>IFERROR('NG Futures'!$I91*HR_High_Plant/1000,"Data Missing")</f>
        <v>21.805247989738874</v>
      </c>
      <c r="K85" s="131"/>
      <c r="L85" s="22">
        <f ca="1">IFERROR(INDEX(Spark_Spread_On,MATCH($C85,Adjustments!$H$3:$H$14,0),1)+IF(INDEX(Spark_Spread_On,MATCH($C85,Adjustments!$H$3:$H$14,0),1)&gt;1,INDEX(Spark_Spread_On,MATCH($C85,Adjustments!$H$3:$H$14,0),1)*(Inflation_Rate+BLS_Esc_Rate),-INDEX(Spark_Spread_On,MATCH($C85,Adjustments!$H$3:$H$14,0),1)*(Inflation_Rate+BLS_Esc_Rate)),"Data Missing")</f>
        <v>22.485829134622783</v>
      </c>
      <c r="M85" s="22">
        <f ca="1">IFERROR(INDEX(Spark_Spread_Off,MATCH($C85,Adjustments!$H$3:$H$14,0),1)+IF(INDEX(Spark_Spread_Off,MATCH($C85,Adjustments!$H$3:$H$14,0),1)&gt;1,INDEX(Spark_Spread_Off,MATCH($C85,Adjustments!$H$3:$H$14,0),1)*(Inflation_Rate+BLS_Esc_Rate),-INDEX(Spark_Spread_Off,MATCH($C85,Adjustments!$H$3:$H$14,0),1)*(Inflation_Rate+BLS_Esc_Rate)),"Data Missing")</f>
        <v>20.092402274981513</v>
      </c>
      <c r="N85" s="131"/>
      <c r="O85" s="15">
        <f t="shared" ca="1" si="9"/>
        <v>54.148794554161981</v>
      </c>
      <c r="P85" s="15">
        <f t="shared" ca="1" si="8"/>
        <v>41.897650264720383</v>
      </c>
    </row>
    <row r="86" spans="1:16" x14ac:dyDescent="0.25">
      <c r="A86" s="3">
        <v>84</v>
      </c>
      <c r="B86" s="19">
        <f t="shared" si="10"/>
        <v>48549</v>
      </c>
      <c r="C86" s="9" t="str">
        <f t="shared" si="11"/>
        <v>Dec</v>
      </c>
      <c r="D86" s="9">
        <f t="shared" si="12"/>
        <v>2032</v>
      </c>
      <c r="E86" s="9" t="str">
        <f>INDEX(Seasons,MATCH($C86,'General Inputs'!$B$20:$B$31,0),1)</f>
        <v>Winter</v>
      </c>
      <c r="F86" s="22">
        <f>'Elec Futures'!H86</f>
        <v>0</v>
      </c>
      <c r="G86" s="22">
        <f>'Elec Futures'!I86</f>
        <v>0</v>
      </c>
      <c r="H86" s="131"/>
      <c r="I86" s="22">
        <f>IFERROR('NG Futures'!$I92*HR_Low_Plant/1000,"Data Missing")</f>
        <v>54.299445399649059</v>
      </c>
      <c r="J86" s="22">
        <f>IFERROR('NG Futures'!$I92*HR_High_Plant/1000,"Data Missing")</f>
        <v>37.394250884472733</v>
      </c>
      <c r="K86" s="131"/>
      <c r="L86" s="22">
        <f ca="1">IFERROR(INDEX(Spark_Spread_On,MATCH($C86,Adjustments!$H$3:$H$14,0),1)+IF(INDEX(Spark_Spread_On,MATCH($C86,Adjustments!$H$3:$H$14,0),1)&gt;1,INDEX(Spark_Spread_On,MATCH($C86,Adjustments!$H$3:$H$14,0),1)*(Inflation_Rate+BLS_Esc_Rate),-INDEX(Spark_Spread_On,MATCH($C86,Adjustments!$H$3:$H$14,0),1)*(Inflation_Rate+BLS_Esc_Rate)),"Data Missing")</f>
        <v>11.430346668590539</v>
      </c>
      <c r="M86" s="22">
        <f ca="1">IFERROR(INDEX(Spark_Spread_Off,MATCH($C86,Adjustments!$H$3:$H$14,0),1)+IF(INDEX(Spark_Spread_Off,MATCH($C86,Adjustments!$H$3:$H$14,0),1)&gt;1,INDEX(Spark_Spread_Off,MATCH($C86,Adjustments!$H$3:$H$14,0),1)*(Inflation_Rate+BLS_Esc_Rate),-INDEX(Spark_Spread_Off,MATCH($C86,Adjustments!$H$3:$H$14,0),1)*(Inflation_Rate+BLS_Esc_Rate)),"Data Missing")</f>
        <v>16.391451942721986</v>
      </c>
      <c r="N86" s="131"/>
      <c r="O86" s="15">
        <f t="shared" ca="1" si="9"/>
        <v>65.729792068239604</v>
      </c>
      <c r="P86" s="15">
        <f t="shared" ca="1" si="8"/>
        <v>53.785702827194719</v>
      </c>
    </row>
    <row r="87" spans="1:16" x14ac:dyDescent="0.25">
      <c r="A87" s="3">
        <v>85</v>
      </c>
      <c r="B87" s="19">
        <f t="shared" si="10"/>
        <v>48580</v>
      </c>
      <c r="C87" s="9" t="str">
        <f t="shared" si="11"/>
        <v>Jan</v>
      </c>
      <c r="D87" s="9">
        <f t="shared" si="12"/>
        <v>2033</v>
      </c>
      <c r="E87" s="9" t="str">
        <f>INDEX(Seasons,MATCH($C87,'General Inputs'!$B$20:$B$31,0),1)</f>
        <v>Winter</v>
      </c>
      <c r="F87" s="22">
        <f>'Elec Futures'!H87</f>
        <v>0</v>
      </c>
      <c r="G87" s="22">
        <f>'Elec Futures'!I87</f>
        <v>0</v>
      </c>
      <c r="H87" s="131"/>
      <c r="I87" s="22">
        <f>IFERROR('NG Futures'!$I93*HR_Low_Plant/1000,"Data Missing")</f>
        <v>85.003633523473326</v>
      </c>
      <c r="J87" s="22">
        <f>IFERROR('NG Futures'!$I93*HR_High_Plant/1000,"Data Missing")</f>
        <v>58.53922033039921</v>
      </c>
      <c r="K87" s="131"/>
      <c r="L87" s="22">
        <f ca="1">IFERROR(INDEX(Spark_Spread_On,MATCH($C87,Adjustments!$H$3:$H$14,0),1)+IF(INDEX(Spark_Spread_On,MATCH($C87,Adjustments!$H$3:$H$14,0),1)&gt;1,INDEX(Spark_Spread_On,MATCH($C87,Adjustments!$H$3:$H$14,0),1)*(Inflation_Rate+BLS_Esc_Rate),-INDEX(Spark_Spread_On,MATCH($C87,Adjustments!$H$3:$H$14,0),1)*(Inflation_Rate+BLS_Esc_Rate)),"Data Missing")</f>
        <v>5.8685378940686794</v>
      </c>
      <c r="M87" s="22">
        <f ca="1">IFERROR(INDEX(Spark_Spread_Off,MATCH($C87,Adjustments!$H$3:$H$14,0),1)+IF(INDEX(Spark_Spread_Off,MATCH($C87,Adjustments!$H$3:$H$14,0),1)&gt;1,INDEX(Spark_Spread_Off,MATCH($C87,Adjustments!$H$3:$H$14,0),1)*(Inflation_Rate+BLS_Esc_Rate),-INDEX(Spark_Spread_Off,MATCH($C87,Adjustments!$H$3:$H$14,0),1)*(Inflation_Rate+BLS_Esc_Rate)),"Data Missing")</f>
        <v>16.761915371452087</v>
      </c>
      <c r="N87" s="131"/>
      <c r="O87" s="15">
        <f t="shared" ca="1" si="9"/>
        <v>90.872171417542006</v>
      </c>
      <c r="P87" s="15">
        <f t="shared" ca="1" si="8"/>
        <v>75.301135701851294</v>
      </c>
    </row>
    <row r="88" spans="1:16" x14ac:dyDescent="0.25">
      <c r="A88" s="3">
        <v>86</v>
      </c>
      <c r="B88" s="19">
        <f t="shared" si="10"/>
        <v>48611</v>
      </c>
      <c r="C88" s="9" t="str">
        <f t="shared" si="11"/>
        <v>Feb</v>
      </c>
      <c r="D88" s="9">
        <f t="shared" si="12"/>
        <v>2033</v>
      </c>
      <c r="E88" s="9" t="str">
        <f>INDEX(Seasons,MATCH($C88,'General Inputs'!$B$20:$B$31,0),1)</f>
        <v>Winter</v>
      </c>
      <c r="F88" s="22">
        <f>'Elec Futures'!H88</f>
        <v>0</v>
      </c>
      <c r="G88" s="22">
        <f>'Elec Futures'!I88</f>
        <v>0</v>
      </c>
      <c r="H88" s="131"/>
      <c r="I88" s="22">
        <f>IFERROR('NG Futures'!$I94*HR_Low_Plant/1000,"Data Missing")</f>
        <v>74.830619132697834</v>
      </c>
      <c r="J88" s="22">
        <f>IFERROR('NG Futures'!$I94*HR_High_Plant/1000,"Data Missing")</f>
        <v>51.533398271257724</v>
      </c>
      <c r="K88" s="131"/>
      <c r="L88" s="22">
        <f ca="1">IFERROR(INDEX(Spark_Spread_On,MATCH($C88,Adjustments!$H$3:$H$14,0),1)+IF(INDEX(Spark_Spread_On,MATCH($C88,Adjustments!$H$3:$H$14,0),1)&gt;1,INDEX(Spark_Spread_On,MATCH($C88,Adjustments!$H$3:$H$14,0),1)*(Inflation_Rate+BLS_Esc_Rate),-INDEX(Spark_Spread_On,MATCH($C88,Adjustments!$H$3:$H$14,0),1)*(Inflation_Rate+BLS_Esc_Rate)),"Data Missing")</f>
        <v>5.7233949711767895</v>
      </c>
      <c r="M88" s="22">
        <f ca="1">IFERROR(INDEX(Spark_Spread_Off,MATCH($C88,Adjustments!$H$3:$H$14,0),1)+IF(INDEX(Spark_Spread_Off,MATCH($C88,Adjustments!$H$3:$H$14,0),1)&gt;1,INDEX(Spark_Spread_Off,MATCH($C88,Adjustments!$H$3:$H$14,0),1)*(Inflation_Rate+BLS_Esc_Rate),-INDEX(Spark_Spread_Off,MATCH($C88,Adjustments!$H$3:$H$14,0),1)*(Inflation_Rate+BLS_Esc_Rate)),"Data Missing")</f>
        <v>15.231728502085021</v>
      </c>
      <c r="N88" s="131"/>
      <c r="O88" s="15">
        <f t="shared" ca="1" si="9"/>
        <v>80.554014103874621</v>
      </c>
      <c r="P88" s="15">
        <f t="shared" ca="1" si="8"/>
        <v>66.765126773342743</v>
      </c>
    </row>
    <row r="89" spans="1:16" x14ac:dyDescent="0.25">
      <c r="A89" s="3">
        <v>87</v>
      </c>
      <c r="B89" s="19">
        <f t="shared" si="10"/>
        <v>48639</v>
      </c>
      <c r="C89" s="9" t="str">
        <f t="shared" si="11"/>
        <v>Mar</v>
      </c>
      <c r="D89" s="9">
        <f t="shared" si="12"/>
        <v>2033</v>
      </c>
      <c r="E89" s="9" t="str">
        <f>INDEX(Seasons,MATCH($C89,'General Inputs'!$B$20:$B$31,0),1)</f>
        <v>Shoulder</v>
      </c>
      <c r="F89" s="22">
        <f>'Elec Futures'!H89</f>
        <v>0</v>
      </c>
      <c r="G89" s="22">
        <f>'Elec Futures'!I89</f>
        <v>0</v>
      </c>
      <c r="H89" s="131"/>
      <c r="I89" s="22">
        <f>IFERROR('NG Futures'!$I95*HR_Low_Plant/1000,"Data Missing")</f>
        <v>38.999312756481054</v>
      </c>
      <c r="J89" s="22">
        <f>IFERROR('NG Futures'!$I95*HR_High_Plant/1000,"Data Missing")</f>
        <v>26.857550289957398</v>
      </c>
      <c r="K89" s="131"/>
      <c r="L89" s="22">
        <f ca="1">IFERROR(INDEX(Spark_Spread_On,MATCH($C89,Adjustments!$H$3:$H$14,0),1)+IF(INDEX(Spark_Spread_On,MATCH($C89,Adjustments!$H$3:$H$14,0),1)&gt;1,INDEX(Spark_Spread_On,MATCH($C89,Adjustments!$H$3:$H$14,0),1)*(Inflation_Rate+BLS_Esc_Rate),-INDEX(Spark_Spread_On,MATCH($C89,Adjustments!$H$3:$H$14,0),1)*(Inflation_Rate+BLS_Esc_Rate)),"Data Missing")</f>
        <v>16.528539996336317</v>
      </c>
      <c r="M89" s="22">
        <f ca="1">IFERROR(INDEX(Spark_Spread_Off,MATCH($C89,Adjustments!$H$3:$H$14,0),1)+IF(INDEX(Spark_Spread_Off,MATCH($C89,Adjustments!$H$3:$H$14,0),1)&gt;1,INDEX(Spark_Spread_Off,MATCH($C89,Adjustments!$H$3:$H$14,0),1)*(Inflation_Rate+BLS_Esc_Rate),-INDEX(Spark_Spread_Off,MATCH($C89,Adjustments!$H$3:$H$14,0),1)*(Inflation_Rate+BLS_Esc_Rate)),"Data Missing")</f>
        <v>18.910646100880385</v>
      </c>
      <c r="N89" s="131"/>
      <c r="O89" s="15">
        <f t="shared" ca="1" si="9"/>
        <v>55.527852752817367</v>
      </c>
      <c r="P89" s="15">
        <f t="shared" ca="1" si="8"/>
        <v>45.768196390837787</v>
      </c>
    </row>
    <row r="90" spans="1:16" x14ac:dyDescent="0.25">
      <c r="A90" s="3">
        <v>88</v>
      </c>
      <c r="B90" s="19">
        <f t="shared" si="10"/>
        <v>48670</v>
      </c>
      <c r="C90" s="9" t="str">
        <f t="shared" si="11"/>
        <v>Apr</v>
      </c>
      <c r="D90" s="9">
        <f t="shared" si="12"/>
        <v>2033</v>
      </c>
      <c r="E90" s="9" t="str">
        <f>INDEX(Seasons,MATCH($C90,'General Inputs'!$B$20:$B$31,0),1)</f>
        <v>Shoulder</v>
      </c>
      <c r="F90" s="22">
        <f>'Elec Futures'!H90</f>
        <v>0</v>
      </c>
      <c r="G90" s="22">
        <f>'Elec Futures'!I90</f>
        <v>0</v>
      </c>
      <c r="H90" s="131"/>
      <c r="I90" s="22">
        <f>IFERROR('NG Futures'!$I96*HR_Low_Plant/1000,"Data Missing")</f>
        <v>31.481560479023344</v>
      </c>
      <c r="J90" s="22">
        <f>IFERROR('NG Futures'!$I96*HR_High_Plant/1000,"Data Missing")</f>
        <v>21.680320344393593</v>
      </c>
      <c r="K90" s="131"/>
      <c r="L90" s="22">
        <f ca="1">IFERROR(INDEX(Spark_Spread_On,MATCH($C90,Adjustments!$H$3:$H$14,0),1)+IF(INDEX(Spark_Spread_On,MATCH($C90,Adjustments!$H$3:$H$14,0),1)&gt;1,INDEX(Spark_Spread_On,MATCH($C90,Adjustments!$H$3:$H$14,0),1)*(Inflation_Rate+BLS_Esc_Rate),-INDEX(Spark_Spread_On,MATCH($C90,Adjustments!$H$3:$H$14,0),1)*(Inflation_Rate+BLS_Esc_Rate)),"Data Missing")</f>
        <v>22.38036101423787</v>
      </c>
      <c r="M90" s="22">
        <f ca="1">IFERROR(INDEX(Spark_Spread_Off,MATCH($C90,Adjustments!$H$3:$H$14,0),1)+IF(INDEX(Spark_Spread_Off,MATCH($C90,Adjustments!$H$3:$H$14,0),1)&gt;1,INDEX(Spark_Spread_Off,MATCH($C90,Adjustments!$H$3:$H$14,0),1)*(Inflation_Rate+BLS_Esc_Rate),-INDEX(Spark_Spread_Off,MATCH($C90,Adjustments!$H$3:$H$14,0),1)*(Inflation_Rate+BLS_Esc_Rate)),"Data Missing")</f>
        <v>18.258127438419208</v>
      </c>
      <c r="N90" s="131"/>
      <c r="O90" s="15">
        <f t="shared" ca="1" si="9"/>
        <v>53.861921493261214</v>
      </c>
      <c r="P90" s="15">
        <f t="shared" ca="1" si="8"/>
        <v>39.938447782812801</v>
      </c>
    </row>
    <row r="91" spans="1:16" x14ac:dyDescent="0.25">
      <c r="A91" s="3">
        <v>89</v>
      </c>
      <c r="B91" s="19">
        <f t="shared" si="10"/>
        <v>48700</v>
      </c>
      <c r="C91" s="9" t="str">
        <f t="shared" si="11"/>
        <v>May</v>
      </c>
      <c r="D91" s="9">
        <f t="shared" si="12"/>
        <v>2033</v>
      </c>
      <c r="E91" s="9" t="str">
        <f>INDEX(Seasons,MATCH($C91,'General Inputs'!$B$20:$B$31,0),1)</f>
        <v>Summer</v>
      </c>
      <c r="F91" s="22">
        <f>'Elec Futures'!H91</f>
        <v>0</v>
      </c>
      <c r="G91" s="22">
        <f>'Elec Futures'!I91</f>
        <v>0</v>
      </c>
      <c r="H91" s="131"/>
      <c r="I91" s="22">
        <f>IFERROR('NG Futures'!$I97*HR_Low_Plant/1000,"Data Missing")</f>
        <v>27.787957990253332</v>
      </c>
      <c r="J91" s="22">
        <f>IFERROR('NG Futures'!$I97*HR_High_Plant/1000,"Data Missing")</f>
        <v>19.136657198002204</v>
      </c>
      <c r="K91" s="131"/>
      <c r="L91" s="22">
        <f ca="1">IFERROR(INDEX(Spark_Spread_On,MATCH($C91,Adjustments!$H$3:$H$14,0),1)+IF(INDEX(Spark_Spread_On,MATCH($C91,Adjustments!$H$3:$H$14,0),1)&gt;1,INDEX(Spark_Spread_On,MATCH($C91,Adjustments!$H$3:$H$14,0),1)*(Inflation_Rate+BLS_Esc_Rate),-INDEX(Spark_Spread_On,MATCH($C91,Adjustments!$H$3:$H$14,0),1)*(Inflation_Rate+BLS_Esc_Rate)),"Data Missing")</f>
        <v>26.985629754035614</v>
      </c>
      <c r="M91" s="22">
        <f ca="1">IFERROR(INDEX(Spark_Spread_Off,MATCH($C91,Adjustments!$H$3:$H$14,0),1)+IF(INDEX(Spark_Spread_Off,MATCH($C91,Adjustments!$H$3:$H$14,0),1)&gt;1,INDEX(Spark_Spread_Off,MATCH($C91,Adjustments!$H$3:$H$14,0),1)*(Inflation_Rate+BLS_Esc_Rate),-INDEX(Spark_Spread_Off,MATCH($C91,Adjustments!$H$3:$H$14,0),1)*(Inflation_Rate+BLS_Esc_Rate)),"Data Missing")</f>
        <v>16.780298980176973</v>
      </c>
      <c r="N91" s="131"/>
      <c r="O91" s="15">
        <f t="shared" ca="1" si="9"/>
        <v>54.773587744288946</v>
      </c>
      <c r="P91" s="15">
        <f t="shared" ca="1" si="8"/>
        <v>35.916956178179177</v>
      </c>
    </row>
    <row r="92" spans="1:16" x14ac:dyDescent="0.25">
      <c r="A92" s="3">
        <v>90</v>
      </c>
      <c r="B92" s="19">
        <f t="shared" si="10"/>
        <v>48731</v>
      </c>
      <c r="C92" s="9" t="str">
        <f t="shared" si="11"/>
        <v>Jun</v>
      </c>
      <c r="D92" s="9">
        <f t="shared" si="12"/>
        <v>2033</v>
      </c>
      <c r="E92" s="9" t="str">
        <f>INDEX(Seasons,MATCH($C92,'General Inputs'!$B$20:$B$31,0),1)</f>
        <v>Summer</v>
      </c>
      <c r="F92" s="22">
        <f>'Elec Futures'!H92</f>
        <v>0</v>
      </c>
      <c r="G92" s="22">
        <f>'Elec Futures'!I92</f>
        <v>0</v>
      </c>
      <c r="H92" s="131"/>
      <c r="I92" s="22">
        <f>IFERROR('NG Futures'!$I98*HR_Low_Plant/1000,"Data Missing")</f>
        <v>27.963030792761742</v>
      </c>
      <c r="J92" s="22">
        <f>IFERROR('NG Futures'!$I98*HR_High_Plant/1000,"Data Missing")</f>
        <v>19.257224107145802</v>
      </c>
      <c r="K92" s="131"/>
      <c r="L92" s="22">
        <f ca="1">IFERROR(INDEX(Spark_Spread_On,MATCH($C92,Adjustments!$H$3:$H$14,0),1)+IF(INDEX(Spark_Spread_On,MATCH($C92,Adjustments!$H$3:$H$14,0),1)&gt;1,INDEX(Spark_Spread_On,MATCH($C92,Adjustments!$H$3:$H$14,0),1)*(Inflation_Rate+BLS_Esc_Rate),-INDEX(Spark_Spread_On,MATCH($C92,Adjustments!$H$3:$H$14,0),1)*(Inflation_Rate+BLS_Esc_Rate)),"Data Missing")</f>
        <v>32.794481155748485</v>
      </c>
      <c r="M92" s="22">
        <f ca="1">IFERROR(INDEX(Spark_Spread_Off,MATCH($C92,Adjustments!$H$3:$H$14,0),1)+IF(INDEX(Spark_Spread_Off,MATCH($C92,Adjustments!$H$3:$H$14,0),1)&gt;1,INDEX(Spark_Spread_Off,MATCH($C92,Adjustments!$H$3:$H$14,0),1)*(Inflation_Rate+BLS_Esc_Rate),-INDEX(Spark_Spread_Off,MATCH($C92,Adjustments!$H$3:$H$14,0),1)*(Inflation_Rate+BLS_Esc_Rate)),"Data Missing")</f>
        <v>16.358897919725173</v>
      </c>
      <c r="N92" s="131"/>
      <c r="O92" s="15">
        <f t="shared" ca="1" si="9"/>
        <v>60.757511948510228</v>
      </c>
      <c r="P92" s="15">
        <f t="shared" ca="1" si="8"/>
        <v>35.616122026870976</v>
      </c>
    </row>
    <row r="93" spans="1:16" x14ac:dyDescent="0.25">
      <c r="A93" s="3">
        <v>91</v>
      </c>
      <c r="B93" s="19">
        <f t="shared" si="10"/>
        <v>48761</v>
      </c>
      <c r="C93" s="9" t="str">
        <f t="shared" si="11"/>
        <v>Jul</v>
      </c>
      <c r="D93" s="9">
        <f t="shared" si="12"/>
        <v>2033</v>
      </c>
      <c r="E93" s="9" t="str">
        <f>INDEX(Seasons,MATCH($C93,'General Inputs'!$B$20:$B$31,0),1)</f>
        <v>Summer</v>
      </c>
      <c r="F93" s="22">
        <f>'Elec Futures'!H93</f>
        <v>0</v>
      </c>
      <c r="G93" s="22">
        <f>'Elec Futures'!I93</f>
        <v>0</v>
      </c>
      <c r="H93" s="131"/>
      <c r="I93" s="22">
        <f>IFERROR('NG Futures'!$I99*HR_Low_Plant/1000,"Data Missing")</f>
        <v>29.311907884696581</v>
      </c>
      <c r="J93" s="22">
        <f>IFERROR('NG Futures'!$I99*HR_High_Plant/1000,"Data Missing")</f>
        <v>20.186151613069377</v>
      </c>
      <c r="K93" s="131"/>
      <c r="L93" s="22">
        <f ca="1">IFERROR(INDEX(Spark_Spread_On,MATCH($C93,Adjustments!$H$3:$H$14,0),1)+IF(INDEX(Spark_Spread_On,MATCH($C93,Adjustments!$H$3:$H$14,0),1)&gt;1,INDEX(Spark_Spread_On,MATCH($C93,Adjustments!$H$3:$H$14,0),1)*(Inflation_Rate+BLS_Esc_Rate),-INDEX(Spark_Spread_On,MATCH($C93,Adjustments!$H$3:$H$14,0),1)*(Inflation_Rate+BLS_Esc_Rate)),"Data Missing")</f>
        <v>60.778479645687867</v>
      </c>
      <c r="M93" s="22">
        <f ca="1">IFERROR(INDEX(Spark_Spread_Off,MATCH($C93,Adjustments!$H$3:$H$14,0),1)+IF(INDEX(Spark_Spread_Off,MATCH($C93,Adjustments!$H$3:$H$14,0),1)&gt;1,INDEX(Spark_Spread_Off,MATCH($C93,Adjustments!$H$3:$H$14,0),1)*(Inflation_Rate+BLS_Esc_Rate),-INDEX(Spark_Spread_Off,MATCH($C93,Adjustments!$H$3:$H$14,0),1)*(Inflation_Rate+BLS_Esc_Rate)),"Data Missing")</f>
        <v>23.644134063075864</v>
      </c>
      <c r="N93" s="131"/>
      <c r="O93" s="15">
        <f t="shared" ca="1" si="9"/>
        <v>90.090387530384447</v>
      </c>
      <c r="P93" s="15">
        <f t="shared" ca="1" si="8"/>
        <v>43.830285676145238</v>
      </c>
    </row>
    <row r="94" spans="1:16" x14ac:dyDescent="0.25">
      <c r="A94" s="3">
        <v>92</v>
      </c>
      <c r="B94" s="19">
        <f t="shared" si="10"/>
        <v>48792</v>
      </c>
      <c r="C94" s="9" t="str">
        <f t="shared" si="11"/>
        <v>Aug</v>
      </c>
      <c r="D94" s="9">
        <f t="shared" si="12"/>
        <v>2033</v>
      </c>
      <c r="E94" s="9" t="str">
        <f>INDEX(Seasons,MATCH($C94,'General Inputs'!$B$20:$B$31,0),1)</f>
        <v>Summer</v>
      </c>
      <c r="F94" s="22">
        <f>'Elec Futures'!H94</f>
        <v>0</v>
      </c>
      <c r="G94" s="22">
        <f>'Elec Futures'!I94</f>
        <v>0</v>
      </c>
      <c r="H94" s="131"/>
      <c r="I94" s="22">
        <f>IFERROR('NG Futures'!$I100*HR_Low_Plant/1000,"Data Missing")</f>
        <v>29.631710032261374</v>
      </c>
      <c r="J94" s="22">
        <f>IFERROR('NG Futures'!$I100*HR_High_Plant/1000,"Data Missing")</f>
        <v>20.406388885317984</v>
      </c>
      <c r="K94" s="131"/>
      <c r="L94" s="22">
        <f ca="1">IFERROR(INDEX(Spark_Spread_On,MATCH($C94,Adjustments!$H$3:$H$14,0),1)+IF(INDEX(Spark_Spread_On,MATCH($C94,Adjustments!$H$3:$H$14,0),1)&gt;1,INDEX(Spark_Spread_On,MATCH($C94,Adjustments!$H$3:$H$14,0),1)*(Inflation_Rate+BLS_Esc_Rate),-INDEX(Spark_Spread_On,MATCH($C94,Adjustments!$H$3:$H$14,0),1)*(Inflation_Rate+BLS_Esc_Rate)),"Data Missing")</f>
        <v>48.689674403055982</v>
      </c>
      <c r="M94" s="22">
        <f ca="1">IFERROR(INDEX(Spark_Spread_Off,MATCH($C94,Adjustments!$H$3:$H$14,0),1)+IF(INDEX(Spark_Spread_Off,MATCH($C94,Adjustments!$H$3:$H$14,0),1)&gt;1,INDEX(Spark_Spread_Off,MATCH($C94,Adjustments!$H$3:$H$14,0),1)*(Inflation_Rate+BLS_Esc_Rate),-INDEX(Spark_Spread_Off,MATCH($C94,Adjustments!$H$3:$H$14,0),1)*(Inflation_Rate+BLS_Esc_Rate)),"Data Missing")</f>
        <v>19.08142511960634</v>
      </c>
      <c r="N94" s="131"/>
      <c r="O94" s="15">
        <f t="shared" ca="1" si="9"/>
        <v>78.321384435317356</v>
      </c>
      <c r="P94" s="15">
        <f t="shared" ca="1" si="8"/>
        <v>39.487814004924324</v>
      </c>
    </row>
    <row r="95" spans="1:16" x14ac:dyDescent="0.25">
      <c r="A95" s="3">
        <v>93</v>
      </c>
      <c r="B95" s="19">
        <f t="shared" si="10"/>
        <v>48823</v>
      </c>
      <c r="C95" s="9" t="str">
        <f t="shared" si="11"/>
        <v>Sep</v>
      </c>
      <c r="D95" s="9">
        <f t="shared" si="12"/>
        <v>2033</v>
      </c>
      <c r="E95" s="9" t="str">
        <f>INDEX(Seasons,MATCH($C95,'General Inputs'!$B$20:$B$31,0),1)</f>
        <v>Summer</v>
      </c>
      <c r="F95" s="22">
        <f>'Elec Futures'!H95</f>
        <v>0</v>
      </c>
      <c r="G95" s="22">
        <f>'Elec Futures'!I95</f>
        <v>0</v>
      </c>
      <c r="H95" s="131"/>
      <c r="I95" s="22">
        <f>IFERROR('NG Futures'!$I101*HR_Low_Plant/1000,"Data Missing")</f>
        <v>24.704343405920184</v>
      </c>
      <c r="J95" s="22">
        <f>IFERROR('NG Futures'!$I101*HR_High_Plant/1000,"Data Missing")</f>
        <v>17.013072757150471</v>
      </c>
      <c r="K95" s="131"/>
      <c r="L95" s="22">
        <f ca="1">IFERROR(INDEX(Spark_Spread_On,MATCH($C95,Adjustments!$H$3:$H$14,0),1)+IF(INDEX(Spark_Spread_On,MATCH($C95,Adjustments!$H$3:$H$14,0),1)&gt;1,INDEX(Spark_Spread_On,MATCH($C95,Adjustments!$H$3:$H$14,0),1)*(Inflation_Rate+BLS_Esc_Rate),-INDEX(Spark_Spread_On,MATCH($C95,Adjustments!$H$3:$H$14,0),1)*(Inflation_Rate+BLS_Esc_Rate)),"Data Missing")</f>
        <v>33.852941430998882</v>
      </c>
      <c r="M95" s="22">
        <f ca="1">IFERROR(INDEX(Spark_Spread_Off,MATCH($C95,Adjustments!$H$3:$H$14,0),1)+IF(INDEX(Spark_Spread_Off,MATCH($C95,Adjustments!$H$3:$H$14,0),1)&gt;1,INDEX(Spark_Spread_Off,MATCH($C95,Adjustments!$H$3:$H$14,0),1)*(Inflation_Rate+BLS_Esc_Rate),-INDEX(Spark_Spread_Off,MATCH($C95,Adjustments!$H$3:$H$14,0),1)*(Inflation_Rate+BLS_Esc_Rate)),"Data Missing")</f>
        <v>17.63955138931739</v>
      </c>
      <c r="N95" s="131"/>
      <c r="O95" s="15">
        <f t="shared" ca="1" si="9"/>
        <v>58.557284836919067</v>
      </c>
      <c r="P95" s="15">
        <f t="shared" ca="1" si="8"/>
        <v>34.652624146467858</v>
      </c>
    </row>
    <row r="96" spans="1:16" x14ac:dyDescent="0.25">
      <c r="A96" s="3">
        <v>94</v>
      </c>
      <c r="B96" s="19">
        <f t="shared" si="10"/>
        <v>48853</v>
      </c>
      <c r="C96" s="9" t="str">
        <f t="shared" si="11"/>
        <v>Oct</v>
      </c>
      <c r="D96" s="9">
        <f t="shared" si="12"/>
        <v>2033</v>
      </c>
      <c r="E96" s="9" t="str">
        <f>INDEX(Seasons,MATCH($C96,'General Inputs'!$B$20:$B$31,0),1)</f>
        <v>Shoulder</v>
      </c>
      <c r="F96" s="22">
        <f>'Elec Futures'!H96</f>
        <v>0</v>
      </c>
      <c r="G96" s="22">
        <f>'Elec Futures'!I96</f>
        <v>0</v>
      </c>
      <c r="H96" s="131"/>
      <c r="I96" s="22">
        <f>IFERROR('NG Futures'!$I102*HR_Low_Plant/1000,"Data Missing")</f>
        <v>25.076753181146167</v>
      </c>
      <c r="J96" s="22">
        <f>IFERROR('NG Futures'!$I102*HR_High_Plant/1000,"Data Missing")</f>
        <v>17.269539180778448</v>
      </c>
      <c r="K96" s="131"/>
      <c r="L96" s="22">
        <f ca="1">IFERROR(INDEX(Spark_Spread_On,MATCH($C96,Adjustments!$H$3:$H$14,0),1)+IF(INDEX(Spark_Spread_On,MATCH($C96,Adjustments!$H$3:$H$14,0),1)&gt;1,INDEX(Spark_Spread_On,MATCH($C96,Adjustments!$H$3:$H$14,0),1)*(Inflation_Rate+BLS_Esc_Rate),-INDEX(Spark_Spread_On,MATCH($C96,Adjustments!$H$3:$H$14,0),1)*(Inflation_Rate+BLS_Esc_Rate)),"Data Missing")</f>
        <v>29.40002941858754</v>
      </c>
      <c r="M96" s="22">
        <f ca="1">IFERROR(INDEX(Spark_Spread_Off,MATCH($C96,Adjustments!$H$3:$H$14,0),1)+IF(INDEX(Spark_Spread_Off,MATCH($C96,Adjustments!$H$3:$H$14,0),1)&gt;1,INDEX(Spark_Spread_Off,MATCH($C96,Adjustments!$H$3:$H$14,0),1)*(Inflation_Rate+BLS_Esc_Rate),-INDEX(Spark_Spread_Off,MATCH($C96,Adjustments!$H$3:$H$14,0),1)*(Inflation_Rate+BLS_Esc_Rate)),"Data Missing")</f>
        <v>20.150009298264372</v>
      </c>
      <c r="N96" s="131"/>
      <c r="O96" s="15">
        <f t="shared" ca="1" si="9"/>
        <v>54.47678259973371</v>
      </c>
      <c r="P96" s="15">
        <f t="shared" ca="1" si="8"/>
        <v>37.419548479042817</v>
      </c>
    </row>
    <row r="97" spans="1:16" x14ac:dyDescent="0.25">
      <c r="A97" s="3">
        <v>95</v>
      </c>
      <c r="B97" s="19">
        <f t="shared" si="10"/>
        <v>48884</v>
      </c>
      <c r="C97" s="9" t="str">
        <f t="shared" si="11"/>
        <v>Nov</v>
      </c>
      <c r="D97" s="9">
        <f t="shared" si="12"/>
        <v>2033</v>
      </c>
      <c r="E97" s="9" t="str">
        <f>INDEX(Seasons,MATCH($C97,'General Inputs'!$B$20:$B$31,0),1)</f>
        <v>Shoulder</v>
      </c>
      <c r="F97" s="22">
        <f>'Elec Futures'!H97</f>
        <v>0</v>
      </c>
      <c r="G97" s="22">
        <f>'Elec Futures'!I97</f>
        <v>0</v>
      </c>
      <c r="H97" s="131"/>
      <c r="I97" s="22">
        <f>IFERROR('NG Futures'!$I103*HR_Low_Plant/1000,"Data Missing")</f>
        <v>34.288350159163429</v>
      </c>
      <c r="J97" s="22">
        <f>IFERROR('NG Futures'!$I103*HR_High_Plant/1000,"Data Missing")</f>
        <v>23.613264533908016</v>
      </c>
      <c r="K97" s="131"/>
      <c r="L97" s="22">
        <f ca="1">IFERROR(INDEX(Spark_Spread_On,MATCH($C97,Adjustments!$H$3:$H$14,0),1)+IF(INDEX(Spark_Spread_On,MATCH($C97,Adjustments!$H$3:$H$14,0),1)&gt;1,INDEX(Spark_Spread_On,MATCH($C97,Adjustments!$H$3:$H$14,0),1)*(Inflation_Rate+BLS_Esc_Rate),-INDEX(Spark_Spread_On,MATCH($C97,Adjustments!$H$3:$H$14,0),1)*(Inflation_Rate+BLS_Esc_Rate)),"Data Missing")</f>
        <v>22.485829134622783</v>
      </c>
      <c r="M97" s="22">
        <f ca="1">IFERROR(INDEX(Spark_Spread_Off,MATCH($C97,Adjustments!$H$3:$H$14,0),1)+IF(INDEX(Spark_Spread_Off,MATCH($C97,Adjustments!$H$3:$H$14,0),1)&gt;1,INDEX(Spark_Spread_Off,MATCH($C97,Adjustments!$H$3:$H$14,0),1)*(Inflation_Rate+BLS_Esc_Rate),-INDEX(Spark_Spread_Off,MATCH($C97,Adjustments!$H$3:$H$14,0),1)*(Inflation_Rate+BLS_Esc_Rate)),"Data Missing")</f>
        <v>20.092402274981513</v>
      </c>
      <c r="N97" s="131"/>
      <c r="O97" s="15">
        <f t="shared" ca="1" si="9"/>
        <v>56.774179293786212</v>
      </c>
      <c r="P97" s="15">
        <f t="shared" ca="1" si="8"/>
        <v>43.705666808889532</v>
      </c>
    </row>
    <row r="98" spans="1:16" x14ac:dyDescent="0.25">
      <c r="A98" s="3">
        <v>96</v>
      </c>
      <c r="B98" s="19">
        <f t="shared" si="10"/>
        <v>48914</v>
      </c>
      <c r="C98" s="9" t="str">
        <f t="shared" si="11"/>
        <v>Dec</v>
      </c>
      <c r="D98" s="9">
        <f t="shared" si="12"/>
        <v>2033</v>
      </c>
      <c r="E98" s="9" t="str">
        <f>INDEX(Seasons,MATCH($C98,'General Inputs'!$B$20:$B$31,0),1)</f>
        <v>Winter</v>
      </c>
      <c r="F98" s="22">
        <f>'Elec Futures'!H98</f>
        <v>0</v>
      </c>
      <c r="G98" s="22">
        <f>'Elec Futures'!I98</f>
        <v>0</v>
      </c>
      <c r="H98" s="131"/>
      <c r="I98" s="22">
        <f>IFERROR('NG Futures'!$I104*HR_Low_Plant/1000,"Data Missing")</f>
        <v>58.120714032034222</v>
      </c>
      <c r="J98" s="22">
        <f>IFERROR('NG Futures'!$I104*HR_High_Plant/1000,"Data Missing")</f>
        <v>40.025833525596731</v>
      </c>
      <c r="K98" s="131"/>
      <c r="L98" s="22">
        <f ca="1">IFERROR(INDEX(Spark_Spread_On,MATCH($C98,Adjustments!$H$3:$H$14,0),1)+IF(INDEX(Spark_Spread_On,MATCH($C98,Adjustments!$H$3:$H$14,0),1)&gt;1,INDEX(Spark_Spread_On,MATCH($C98,Adjustments!$H$3:$H$14,0),1)*(Inflation_Rate+BLS_Esc_Rate),-INDEX(Spark_Spread_On,MATCH($C98,Adjustments!$H$3:$H$14,0),1)*(Inflation_Rate+BLS_Esc_Rate)),"Data Missing")</f>
        <v>11.430346668590539</v>
      </c>
      <c r="M98" s="22">
        <f ca="1">IFERROR(INDEX(Spark_Spread_Off,MATCH($C98,Adjustments!$H$3:$H$14,0),1)+IF(INDEX(Spark_Spread_Off,MATCH($C98,Adjustments!$H$3:$H$14,0),1)&gt;1,INDEX(Spark_Spread_Off,MATCH($C98,Adjustments!$H$3:$H$14,0),1)*(Inflation_Rate+BLS_Esc_Rate),-INDEX(Spark_Spread_Off,MATCH($C98,Adjustments!$H$3:$H$14,0),1)*(Inflation_Rate+BLS_Esc_Rate)),"Data Missing")</f>
        <v>16.391451942721986</v>
      </c>
      <c r="N98" s="131"/>
      <c r="O98" s="15">
        <f t="shared" ca="1" si="9"/>
        <v>69.55106070062476</v>
      </c>
      <c r="P98" s="15">
        <f t="shared" ca="1" si="8"/>
        <v>56.417285468318717</v>
      </c>
    </row>
    <row r="99" spans="1:16" x14ac:dyDescent="0.25">
      <c r="A99" s="3">
        <v>97</v>
      </c>
      <c r="B99" s="19">
        <f t="shared" si="10"/>
        <v>48945</v>
      </c>
      <c r="C99" s="9" t="str">
        <f t="shared" si="11"/>
        <v>Jan</v>
      </c>
      <c r="D99" s="9">
        <f t="shared" si="12"/>
        <v>2034</v>
      </c>
      <c r="E99" s="9" t="str">
        <f>INDEX(Seasons,MATCH($C99,'General Inputs'!$B$20:$B$31,0),1)</f>
        <v>Winter</v>
      </c>
      <c r="F99" s="22">
        <f>'Elec Futures'!H99</f>
        <v>0</v>
      </c>
      <c r="G99" s="22">
        <f>'Elec Futures'!I99</f>
        <v>0</v>
      </c>
      <c r="H99" s="131"/>
      <c r="I99" s="22">
        <f>IFERROR('NG Futures'!$I105*HR_Low_Plant/1000,"Data Missing")</f>
        <v>90.88976323511946</v>
      </c>
      <c r="J99" s="22">
        <f>IFERROR('NG Futures'!$I105*HR_High_Plant/1000,"Data Missing")</f>
        <v>62.592805216134856</v>
      </c>
      <c r="K99" s="131"/>
      <c r="L99" s="22">
        <f ca="1">IFERROR(INDEX(Spark_Spread_On,MATCH($C99,Adjustments!$H$3:$H$14,0),1)+IF(INDEX(Spark_Spread_On,MATCH($C99,Adjustments!$H$3:$H$14,0),1)&gt;1,INDEX(Spark_Spread_On,MATCH($C99,Adjustments!$H$3:$H$14,0),1)*(Inflation_Rate+BLS_Esc_Rate),-INDEX(Spark_Spread_On,MATCH($C99,Adjustments!$H$3:$H$14,0),1)*(Inflation_Rate+BLS_Esc_Rate)),"Data Missing")</f>
        <v>5.8685378940686794</v>
      </c>
      <c r="M99" s="22">
        <f ca="1">IFERROR(INDEX(Spark_Spread_Off,MATCH($C99,Adjustments!$H$3:$H$14,0),1)+IF(INDEX(Spark_Spread_Off,MATCH($C99,Adjustments!$H$3:$H$14,0),1)&gt;1,INDEX(Spark_Spread_Off,MATCH($C99,Adjustments!$H$3:$H$14,0),1)*(Inflation_Rate+BLS_Esc_Rate),-INDEX(Spark_Spread_Off,MATCH($C99,Adjustments!$H$3:$H$14,0),1)*(Inflation_Rate+BLS_Esc_Rate)),"Data Missing")</f>
        <v>16.761915371452087</v>
      </c>
      <c r="N99" s="131"/>
      <c r="O99" s="15">
        <f t="shared" ca="1" si="9"/>
        <v>96.758301129188141</v>
      </c>
      <c r="P99" s="15">
        <f t="shared" ca="1" si="8"/>
        <v>79.354720587586939</v>
      </c>
    </row>
    <row r="100" spans="1:16" x14ac:dyDescent="0.25">
      <c r="A100" s="3">
        <v>98</v>
      </c>
      <c r="B100" s="19">
        <f t="shared" si="10"/>
        <v>48976</v>
      </c>
      <c r="C100" s="9" t="str">
        <f t="shared" si="11"/>
        <v>Feb</v>
      </c>
      <c r="D100" s="9">
        <f t="shared" si="12"/>
        <v>2034</v>
      </c>
      <c r="E100" s="9" t="str">
        <f>INDEX(Seasons,MATCH($C100,'General Inputs'!$B$20:$B$31,0),1)</f>
        <v>Winter</v>
      </c>
      <c r="F100" s="22">
        <f>'Elec Futures'!H100</f>
        <v>0</v>
      </c>
      <c r="G100" s="22">
        <f>'Elec Futures'!I100</f>
        <v>0</v>
      </c>
      <c r="H100" s="131"/>
      <c r="I100" s="22">
        <f>IFERROR('NG Futures'!$I106*HR_Low_Plant/1000,"Data Missing")</f>
        <v>80.110080155590495</v>
      </c>
      <c r="J100" s="22">
        <f>IFERROR('NG Futures'!$I106*HR_High_Plant/1000,"Data Missing")</f>
        <v>55.169190286660502</v>
      </c>
      <c r="K100" s="131"/>
      <c r="L100" s="22">
        <f ca="1">IFERROR(INDEX(Spark_Spread_On,MATCH($C100,Adjustments!$H$3:$H$14,0),1)+IF(INDEX(Spark_Spread_On,MATCH($C100,Adjustments!$H$3:$H$14,0),1)&gt;1,INDEX(Spark_Spread_On,MATCH($C100,Adjustments!$H$3:$H$14,0),1)*(Inflation_Rate+BLS_Esc_Rate),-INDEX(Spark_Spread_On,MATCH($C100,Adjustments!$H$3:$H$14,0),1)*(Inflation_Rate+BLS_Esc_Rate)),"Data Missing")</f>
        <v>5.7233949711767895</v>
      </c>
      <c r="M100" s="22">
        <f ca="1">IFERROR(INDEX(Spark_Spread_Off,MATCH($C100,Adjustments!$H$3:$H$14,0),1)+IF(INDEX(Spark_Spread_Off,MATCH($C100,Adjustments!$H$3:$H$14,0),1)&gt;1,INDEX(Spark_Spread_Off,MATCH($C100,Adjustments!$H$3:$H$14,0),1)*(Inflation_Rate+BLS_Esc_Rate),-INDEX(Spark_Spread_Off,MATCH($C100,Adjustments!$H$3:$H$14,0),1)*(Inflation_Rate+BLS_Esc_Rate)),"Data Missing")</f>
        <v>15.231728502085021</v>
      </c>
      <c r="N100" s="131"/>
      <c r="O100" s="15">
        <f t="shared" ca="1" si="9"/>
        <v>85.833475126767283</v>
      </c>
      <c r="P100" s="15">
        <f t="shared" ca="1" si="8"/>
        <v>70.400918788745528</v>
      </c>
    </row>
    <row r="101" spans="1:16" x14ac:dyDescent="0.25">
      <c r="A101" s="3">
        <v>99</v>
      </c>
      <c r="B101" s="19">
        <f t="shared" si="10"/>
        <v>49004</v>
      </c>
      <c r="C101" s="9" t="str">
        <f t="shared" si="11"/>
        <v>Mar</v>
      </c>
      <c r="D101" s="9">
        <f t="shared" si="12"/>
        <v>2034</v>
      </c>
      <c r="E101" s="9" t="str">
        <f>INDEX(Seasons,MATCH($C101,'General Inputs'!$B$20:$B$31,0),1)</f>
        <v>Shoulder</v>
      </c>
      <c r="F101" s="22">
        <f>'Elec Futures'!H101</f>
        <v>0</v>
      </c>
      <c r="G101" s="22">
        <f>'Elec Futures'!I101</f>
        <v>0</v>
      </c>
      <c r="H101" s="131"/>
      <c r="I101" s="22">
        <f>IFERROR('NG Futures'!$I107*HR_Low_Plant/1000,"Data Missing")</f>
        <v>42.286766178147232</v>
      </c>
      <c r="J101" s="22">
        <f>IFERROR('NG Futures'!$I107*HR_High_Plant/1000,"Data Missing")</f>
        <v>29.121511866655158</v>
      </c>
      <c r="K101" s="131"/>
      <c r="L101" s="22">
        <f ca="1">IFERROR(INDEX(Spark_Spread_On,MATCH($C101,Adjustments!$H$3:$H$14,0),1)+IF(INDEX(Spark_Spread_On,MATCH($C101,Adjustments!$H$3:$H$14,0),1)&gt;1,INDEX(Spark_Spread_On,MATCH($C101,Adjustments!$H$3:$H$14,0),1)*(Inflation_Rate+BLS_Esc_Rate),-INDEX(Spark_Spread_On,MATCH($C101,Adjustments!$H$3:$H$14,0),1)*(Inflation_Rate+BLS_Esc_Rate)),"Data Missing")</f>
        <v>16.528539996336317</v>
      </c>
      <c r="M101" s="22">
        <f ca="1">IFERROR(INDEX(Spark_Spread_Off,MATCH($C101,Adjustments!$H$3:$H$14,0),1)+IF(INDEX(Spark_Spread_Off,MATCH($C101,Adjustments!$H$3:$H$14,0),1)&gt;1,INDEX(Spark_Spread_Off,MATCH($C101,Adjustments!$H$3:$H$14,0),1)*(Inflation_Rate+BLS_Esc_Rate),-INDEX(Spark_Spread_Off,MATCH($C101,Adjustments!$H$3:$H$14,0),1)*(Inflation_Rate+BLS_Esc_Rate)),"Data Missing")</f>
        <v>18.910646100880385</v>
      </c>
      <c r="N101" s="131"/>
      <c r="O101" s="15">
        <f t="shared" ca="1" si="9"/>
        <v>58.815306174483553</v>
      </c>
      <c r="P101" s="15">
        <f t="shared" ca="1" si="8"/>
        <v>48.032157967535539</v>
      </c>
    </row>
    <row r="102" spans="1:16" x14ac:dyDescent="0.25">
      <c r="A102" s="3">
        <v>100</v>
      </c>
      <c r="B102" s="19">
        <f t="shared" si="10"/>
        <v>49035</v>
      </c>
      <c r="C102" s="9" t="str">
        <f t="shared" si="11"/>
        <v>Apr</v>
      </c>
      <c r="D102" s="9">
        <f t="shared" si="12"/>
        <v>2034</v>
      </c>
      <c r="E102" s="9" t="str">
        <f>INDEX(Seasons,MATCH($C102,'General Inputs'!$B$20:$B$31,0),1)</f>
        <v>Shoulder</v>
      </c>
      <c r="F102" s="22">
        <f>'Elec Futures'!H102</f>
        <v>0</v>
      </c>
      <c r="G102" s="22">
        <f>'Elec Futures'!I102</f>
        <v>0</v>
      </c>
      <c r="H102" s="131"/>
      <c r="I102" s="22">
        <f>IFERROR('NG Futures'!$I108*HR_Low_Plant/1000,"Data Missing")</f>
        <v>34.548517570491747</v>
      </c>
      <c r="J102" s="22">
        <f>IFERROR('NG Futures'!$I108*HR_High_Plant/1000,"Data Missing")</f>
        <v>23.792433315091145</v>
      </c>
      <c r="K102" s="131"/>
      <c r="L102" s="22">
        <f ca="1">IFERROR(INDEX(Spark_Spread_On,MATCH($C102,Adjustments!$H$3:$H$14,0),1)+IF(INDEX(Spark_Spread_On,MATCH($C102,Adjustments!$H$3:$H$14,0),1)&gt;1,INDEX(Spark_Spread_On,MATCH($C102,Adjustments!$H$3:$H$14,0),1)*(Inflation_Rate+BLS_Esc_Rate),-INDEX(Spark_Spread_On,MATCH($C102,Adjustments!$H$3:$H$14,0),1)*(Inflation_Rate+BLS_Esc_Rate)),"Data Missing")</f>
        <v>22.38036101423787</v>
      </c>
      <c r="M102" s="22">
        <f ca="1">IFERROR(INDEX(Spark_Spread_Off,MATCH($C102,Adjustments!$H$3:$H$14,0),1)+IF(INDEX(Spark_Spread_Off,MATCH($C102,Adjustments!$H$3:$H$14,0),1)&gt;1,INDEX(Spark_Spread_Off,MATCH($C102,Adjustments!$H$3:$H$14,0),1)*(Inflation_Rate+BLS_Esc_Rate),-INDEX(Spark_Spread_Off,MATCH($C102,Adjustments!$H$3:$H$14,0),1)*(Inflation_Rate+BLS_Esc_Rate)),"Data Missing")</f>
        <v>18.258127438419208</v>
      </c>
      <c r="N102" s="131"/>
      <c r="O102" s="15">
        <f t="shared" ca="1" si="9"/>
        <v>56.928878584729617</v>
      </c>
      <c r="P102" s="15">
        <f t="shared" ca="1" si="8"/>
        <v>42.050560753510354</v>
      </c>
    </row>
    <row r="103" spans="1:16" x14ac:dyDescent="0.25">
      <c r="A103" s="3">
        <v>101</v>
      </c>
      <c r="B103" s="19">
        <f t="shared" si="10"/>
        <v>49065</v>
      </c>
      <c r="C103" s="9" t="str">
        <f t="shared" si="11"/>
        <v>May</v>
      </c>
      <c r="D103" s="9">
        <f t="shared" si="12"/>
        <v>2034</v>
      </c>
      <c r="E103" s="9" t="str">
        <f>INDEX(Seasons,MATCH($C103,'General Inputs'!$B$20:$B$31,0),1)</f>
        <v>Summer</v>
      </c>
      <c r="F103" s="22">
        <f>'Elec Futures'!H103</f>
        <v>0</v>
      </c>
      <c r="G103" s="22">
        <f>'Elec Futures'!I103</f>
        <v>0</v>
      </c>
      <c r="H103" s="131"/>
      <c r="I103" s="22">
        <f>IFERROR('NG Futures'!$I109*HR_Low_Plant/1000,"Data Missing")</f>
        <v>30.53679034815346</v>
      </c>
      <c r="J103" s="22">
        <f>IFERROR('NG Futures'!$I109*HR_High_Plant/1000,"Data Missing")</f>
        <v>21.029688076570594</v>
      </c>
      <c r="K103" s="131"/>
      <c r="L103" s="22">
        <f ca="1">IFERROR(INDEX(Spark_Spread_On,MATCH($C103,Adjustments!$H$3:$H$14,0),1)+IF(INDEX(Spark_Spread_On,MATCH($C103,Adjustments!$H$3:$H$14,0),1)&gt;1,INDEX(Spark_Spread_On,MATCH($C103,Adjustments!$H$3:$H$14,0),1)*(Inflation_Rate+BLS_Esc_Rate),-INDEX(Spark_Spread_On,MATCH($C103,Adjustments!$H$3:$H$14,0),1)*(Inflation_Rate+BLS_Esc_Rate)),"Data Missing")</f>
        <v>26.985629754035614</v>
      </c>
      <c r="M103" s="22">
        <f ca="1">IFERROR(INDEX(Spark_Spread_Off,MATCH($C103,Adjustments!$H$3:$H$14,0),1)+IF(INDEX(Spark_Spread_Off,MATCH($C103,Adjustments!$H$3:$H$14,0),1)&gt;1,INDEX(Spark_Spread_Off,MATCH($C103,Adjustments!$H$3:$H$14,0),1)*(Inflation_Rate+BLS_Esc_Rate),-INDEX(Spark_Spread_Off,MATCH($C103,Adjustments!$H$3:$H$14,0),1)*(Inflation_Rate+BLS_Esc_Rate)),"Data Missing")</f>
        <v>16.780298980176973</v>
      </c>
      <c r="N103" s="131"/>
      <c r="O103" s="15">
        <f t="shared" ca="1" si="9"/>
        <v>57.522420102189074</v>
      </c>
      <c r="P103" s="15">
        <f t="shared" ca="1" si="8"/>
        <v>37.809987056747566</v>
      </c>
    </row>
    <row r="104" spans="1:16" x14ac:dyDescent="0.25">
      <c r="A104" s="3">
        <v>102</v>
      </c>
      <c r="B104" s="19">
        <f t="shared" si="10"/>
        <v>49096</v>
      </c>
      <c r="C104" s="9" t="str">
        <f t="shared" si="11"/>
        <v>Jun</v>
      </c>
      <c r="D104" s="9">
        <f t="shared" si="12"/>
        <v>2034</v>
      </c>
      <c r="E104" s="9" t="str">
        <f>INDEX(Seasons,MATCH($C104,'General Inputs'!$B$20:$B$31,0),1)</f>
        <v>Summer</v>
      </c>
      <c r="F104" s="22">
        <f>'Elec Futures'!H104</f>
        <v>0</v>
      </c>
      <c r="G104" s="22">
        <f>'Elec Futures'!I104</f>
        <v>0</v>
      </c>
      <c r="H104" s="131"/>
      <c r="I104" s="22">
        <f>IFERROR('NG Futures'!$I110*HR_Low_Plant/1000,"Data Missing")</f>
        <v>30.680117250036059</v>
      </c>
      <c r="J104" s="22">
        <f>IFERROR('NG Futures'!$I110*HR_High_Plant/1000,"Data Missing")</f>
        <v>21.128392622962277</v>
      </c>
      <c r="K104" s="131"/>
      <c r="L104" s="22">
        <f ca="1">IFERROR(INDEX(Spark_Spread_On,MATCH($C104,Adjustments!$H$3:$H$14,0),1)+IF(INDEX(Spark_Spread_On,MATCH($C104,Adjustments!$H$3:$H$14,0),1)&gt;1,INDEX(Spark_Spread_On,MATCH($C104,Adjustments!$H$3:$H$14,0),1)*(Inflation_Rate+BLS_Esc_Rate),-INDEX(Spark_Spread_On,MATCH($C104,Adjustments!$H$3:$H$14,0),1)*(Inflation_Rate+BLS_Esc_Rate)),"Data Missing")</f>
        <v>32.794481155748485</v>
      </c>
      <c r="M104" s="22">
        <f ca="1">IFERROR(INDEX(Spark_Spread_Off,MATCH($C104,Adjustments!$H$3:$H$14,0),1)+IF(INDEX(Spark_Spread_Off,MATCH($C104,Adjustments!$H$3:$H$14,0),1)&gt;1,INDEX(Spark_Spread_Off,MATCH($C104,Adjustments!$H$3:$H$14,0),1)*(Inflation_Rate+BLS_Esc_Rate),-INDEX(Spark_Spread_Off,MATCH($C104,Adjustments!$H$3:$H$14,0),1)*(Inflation_Rate+BLS_Esc_Rate)),"Data Missing")</f>
        <v>16.358897919725173</v>
      </c>
      <c r="N104" s="131"/>
      <c r="O104" s="15">
        <f t="shared" ca="1" si="9"/>
        <v>63.474598405784548</v>
      </c>
      <c r="P104" s="15">
        <f t="shared" ca="1" si="8"/>
        <v>37.487290542687447</v>
      </c>
    </row>
    <row r="105" spans="1:16" x14ac:dyDescent="0.25">
      <c r="A105" s="3">
        <v>103</v>
      </c>
      <c r="B105" s="19">
        <f t="shared" si="10"/>
        <v>49126</v>
      </c>
      <c r="C105" s="9" t="str">
        <f t="shared" si="11"/>
        <v>Jul</v>
      </c>
      <c r="D105" s="9">
        <f t="shared" si="12"/>
        <v>2034</v>
      </c>
      <c r="E105" s="9" t="str">
        <f>INDEX(Seasons,MATCH($C105,'General Inputs'!$B$20:$B$31,0),1)</f>
        <v>Summer</v>
      </c>
      <c r="F105" s="22">
        <f>'Elec Futures'!H105</f>
        <v>0</v>
      </c>
      <c r="G105" s="22">
        <f>'Elec Futures'!I105</f>
        <v>0</v>
      </c>
      <c r="H105" s="131"/>
      <c r="I105" s="22">
        <f>IFERROR('NG Futures'!$I111*HR_Low_Plant/1000,"Data Missing")</f>
        <v>32.0253576170266</v>
      </c>
      <c r="J105" s="22">
        <f>IFERROR('NG Futures'!$I111*HR_High_Plant/1000,"Data Missing")</f>
        <v>22.0548156354428</v>
      </c>
      <c r="K105" s="131"/>
      <c r="L105" s="22">
        <f ca="1">IFERROR(INDEX(Spark_Spread_On,MATCH($C105,Adjustments!$H$3:$H$14,0),1)+IF(INDEX(Spark_Spread_On,MATCH($C105,Adjustments!$H$3:$H$14,0),1)&gt;1,INDEX(Spark_Spread_On,MATCH($C105,Adjustments!$H$3:$H$14,0),1)*(Inflation_Rate+BLS_Esc_Rate),-INDEX(Spark_Spread_On,MATCH($C105,Adjustments!$H$3:$H$14,0),1)*(Inflation_Rate+BLS_Esc_Rate)),"Data Missing")</f>
        <v>60.778479645687867</v>
      </c>
      <c r="M105" s="22">
        <f ca="1">IFERROR(INDEX(Spark_Spread_Off,MATCH($C105,Adjustments!$H$3:$H$14,0),1)+IF(INDEX(Spark_Spread_Off,MATCH($C105,Adjustments!$H$3:$H$14,0),1)&gt;1,INDEX(Spark_Spread_Off,MATCH($C105,Adjustments!$H$3:$H$14,0),1)*(Inflation_Rate+BLS_Esc_Rate),-INDEX(Spark_Spread_Off,MATCH($C105,Adjustments!$H$3:$H$14,0),1)*(Inflation_Rate+BLS_Esc_Rate)),"Data Missing")</f>
        <v>23.644134063075864</v>
      </c>
      <c r="N105" s="131"/>
      <c r="O105" s="15">
        <f t="shared" ca="1" si="9"/>
        <v>92.803837262714467</v>
      </c>
      <c r="P105" s="15">
        <f t="shared" ca="1" si="8"/>
        <v>45.698949698518661</v>
      </c>
    </row>
    <row r="106" spans="1:16" x14ac:dyDescent="0.25">
      <c r="A106" s="3">
        <v>104</v>
      </c>
      <c r="B106" s="19">
        <f t="shared" si="10"/>
        <v>49157</v>
      </c>
      <c r="C106" s="9" t="str">
        <f t="shared" si="11"/>
        <v>Aug</v>
      </c>
      <c r="D106" s="9">
        <f t="shared" si="12"/>
        <v>2034</v>
      </c>
      <c r="E106" s="9" t="str">
        <f>INDEX(Seasons,MATCH($C106,'General Inputs'!$B$20:$B$31,0),1)</f>
        <v>Summer</v>
      </c>
      <c r="F106" s="22">
        <f>'Elec Futures'!H106</f>
        <v>0</v>
      </c>
      <c r="G106" s="22">
        <f>'Elec Futures'!I106</f>
        <v>0</v>
      </c>
      <c r="H106" s="131"/>
      <c r="I106" s="22">
        <f>IFERROR('NG Futures'!$I112*HR_Low_Plant/1000,"Data Missing")</f>
        <v>32.417552446924617</v>
      </c>
      <c r="J106" s="22">
        <f>IFERROR('NG Futures'!$I112*HR_High_Plant/1000,"Data Missing")</f>
        <v>22.324907378679907</v>
      </c>
      <c r="K106" s="131"/>
      <c r="L106" s="22">
        <f ca="1">IFERROR(INDEX(Spark_Spread_On,MATCH($C106,Adjustments!$H$3:$H$14,0),1)+IF(INDEX(Spark_Spread_On,MATCH($C106,Adjustments!$H$3:$H$14,0),1)&gt;1,INDEX(Spark_Spread_On,MATCH($C106,Adjustments!$H$3:$H$14,0),1)*(Inflation_Rate+BLS_Esc_Rate),-INDEX(Spark_Spread_On,MATCH($C106,Adjustments!$H$3:$H$14,0),1)*(Inflation_Rate+BLS_Esc_Rate)),"Data Missing")</f>
        <v>48.689674403055982</v>
      </c>
      <c r="M106" s="22">
        <f ca="1">IFERROR(INDEX(Spark_Spread_Off,MATCH($C106,Adjustments!$H$3:$H$14,0),1)+IF(INDEX(Spark_Spread_Off,MATCH($C106,Adjustments!$H$3:$H$14,0),1)&gt;1,INDEX(Spark_Spread_Off,MATCH($C106,Adjustments!$H$3:$H$14,0),1)*(Inflation_Rate+BLS_Esc_Rate),-INDEX(Spark_Spread_Off,MATCH($C106,Adjustments!$H$3:$H$14,0),1)*(Inflation_Rate+BLS_Esc_Rate)),"Data Missing")</f>
        <v>19.08142511960634</v>
      </c>
      <c r="N106" s="131"/>
      <c r="O106" s="15">
        <f t="shared" ca="1" si="9"/>
        <v>81.107226849980606</v>
      </c>
      <c r="P106" s="15">
        <f t="shared" ca="1" si="8"/>
        <v>41.406332498286247</v>
      </c>
    </row>
    <row r="107" spans="1:16" x14ac:dyDescent="0.25">
      <c r="A107" s="3">
        <v>105</v>
      </c>
      <c r="B107" s="19">
        <f t="shared" si="10"/>
        <v>49188</v>
      </c>
      <c r="C107" s="9" t="str">
        <f t="shared" si="11"/>
        <v>Sep</v>
      </c>
      <c r="D107" s="9">
        <f t="shared" si="12"/>
        <v>2034</v>
      </c>
      <c r="E107" s="9" t="str">
        <f>INDEX(Seasons,MATCH($C107,'General Inputs'!$B$20:$B$31,0),1)</f>
        <v>Summer</v>
      </c>
      <c r="F107" s="22">
        <f>'Elec Futures'!H107</f>
        <v>0</v>
      </c>
      <c r="G107" s="22">
        <f>'Elec Futures'!I107</f>
        <v>0</v>
      </c>
      <c r="H107" s="131"/>
      <c r="I107" s="22">
        <f>IFERROR('NG Futures'!$I113*HR_Low_Plant/1000,"Data Missing")</f>
        <v>27.409555995104313</v>
      </c>
      <c r="J107" s="22">
        <f>IFERROR('NG Futures'!$I113*HR_High_Plant/1000,"Data Missing")</f>
        <v>18.87606412863213</v>
      </c>
      <c r="K107" s="131"/>
      <c r="L107" s="22">
        <f ca="1">IFERROR(INDEX(Spark_Spread_On,MATCH($C107,Adjustments!$H$3:$H$14,0),1)+IF(INDEX(Spark_Spread_On,MATCH($C107,Adjustments!$H$3:$H$14,0),1)&gt;1,INDEX(Spark_Spread_On,MATCH($C107,Adjustments!$H$3:$H$14,0),1)*(Inflation_Rate+BLS_Esc_Rate),-INDEX(Spark_Spread_On,MATCH($C107,Adjustments!$H$3:$H$14,0),1)*(Inflation_Rate+BLS_Esc_Rate)),"Data Missing")</f>
        <v>33.852941430998882</v>
      </c>
      <c r="M107" s="22">
        <f ca="1">IFERROR(INDEX(Spark_Spread_Off,MATCH($C107,Adjustments!$H$3:$H$14,0),1)+IF(INDEX(Spark_Spread_Off,MATCH($C107,Adjustments!$H$3:$H$14,0),1)&gt;1,INDEX(Spark_Spread_Off,MATCH($C107,Adjustments!$H$3:$H$14,0),1)*(Inflation_Rate+BLS_Esc_Rate),-INDEX(Spark_Spread_Off,MATCH($C107,Adjustments!$H$3:$H$14,0),1)*(Inflation_Rate+BLS_Esc_Rate)),"Data Missing")</f>
        <v>17.63955138931739</v>
      </c>
      <c r="N107" s="131"/>
      <c r="O107" s="15">
        <f t="shared" ca="1" si="9"/>
        <v>61.262497426103195</v>
      </c>
      <c r="P107" s="15">
        <f t="shared" ca="1" si="8"/>
        <v>36.51561551794952</v>
      </c>
    </row>
    <row r="108" spans="1:16" x14ac:dyDescent="0.25">
      <c r="A108" s="3">
        <v>106</v>
      </c>
      <c r="B108" s="19">
        <f t="shared" si="10"/>
        <v>49218</v>
      </c>
      <c r="C108" s="9" t="str">
        <f t="shared" si="11"/>
        <v>Oct</v>
      </c>
      <c r="D108" s="9">
        <f t="shared" si="12"/>
        <v>2034</v>
      </c>
      <c r="E108" s="9" t="str">
        <f>INDEX(Seasons,MATCH($C108,'General Inputs'!$B$20:$B$31,0),1)</f>
        <v>Shoulder</v>
      </c>
      <c r="F108" s="22">
        <f>'Elec Futures'!H108</f>
        <v>0</v>
      </c>
      <c r="G108" s="22">
        <f>'Elec Futures'!I108</f>
        <v>0</v>
      </c>
      <c r="H108" s="131"/>
      <c r="I108" s="22">
        <f>IFERROR('NG Futures'!$I114*HR_Low_Plant/1000,"Data Missing")</f>
        <v>27.848708283440608</v>
      </c>
      <c r="J108" s="22">
        <f>IFERROR('NG Futures'!$I114*HR_High_Plant/1000,"Data Missing")</f>
        <v>19.178493936628726</v>
      </c>
      <c r="K108" s="131"/>
      <c r="L108" s="22">
        <f ca="1">IFERROR(INDEX(Spark_Spread_On,MATCH($C108,Adjustments!$H$3:$H$14,0),1)+IF(INDEX(Spark_Spread_On,MATCH($C108,Adjustments!$H$3:$H$14,0),1)&gt;1,INDEX(Spark_Spread_On,MATCH($C108,Adjustments!$H$3:$H$14,0),1)*(Inflation_Rate+BLS_Esc_Rate),-INDEX(Spark_Spread_On,MATCH($C108,Adjustments!$H$3:$H$14,0),1)*(Inflation_Rate+BLS_Esc_Rate)),"Data Missing")</f>
        <v>29.40002941858754</v>
      </c>
      <c r="M108" s="22">
        <f ca="1">IFERROR(INDEX(Spark_Spread_Off,MATCH($C108,Adjustments!$H$3:$H$14,0),1)+IF(INDEX(Spark_Spread_Off,MATCH($C108,Adjustments!$H$3:$H$14,0),1)&gt;1,INDEX(Spark_Spread_Off,MATCH($C108,Adjustments!$H$3:$H$14,0),1)*(Inflation_Rate+BLS_Esc_Rate),-INDEX(Spark_Spread_Off,MATCH($C108,Adjustments!$H$3:$H$14,0),1)*(Inflation_Rate+BLS_Esc_Rate)),"Data Missing")</f>
        <v>20.150009298264372</v>
      </c>
      <c r="N108" s="131"/>
      <c r="O108" s="15">
        <f t="shared" ca="1" si="9"/>
        <v>57.248737702028151</v>
      </c>
      <c r="P108" s="15">
        <f t="shared" ca="1" si="8"/>
        <v>39.328503234893098</v>
      </c>
    </row>
    <row r="109" spans="1:16" x14ac:dyDescent="0.25">
      <c r="A109" s="3">
        <v>107</v>
      </c>
      <c r="B109" s="19">
        <f t="shared" si="10"/>
        <v>49249</v>
      </c>
      <c r="C109" s="9" t="str">
        <f t="shared" si="11"/>
        <v>Nov</v>
      </c>
      <c r="D109" s="9">
        <f t="shared" si="12"/>
        <v>2034</v>
      </c>
      <c r="E109" s="9" t="str">
        <f>INDEX(Seasons,MATCH($C109,'General Inputs'!$B$20:$B$31,0),1)</f>
        <v>Shoulder</v>
      </c>
      <c r="F109" s="22">
        <f>'Elec Futures'!H109</f>
        <v>0</v>
      </c>
      <c r="G109" s="22">
        <f>'Elec Futures'!I109</f>
        <v>0</v>
      </c>
      <c r="H109" s="131"/>
      <c r="I109" s="22">
        <f>IFERROR('NG Futures'!$I115*HR_Low_Plant/1000,"Data Missing")</f>
        <v>37.394127380615451</v>
      </c>
      <c r="J109" s="22">
        <f>IFERROR('NG Futures'!$I115*HR_High_Plant/1000,"Data Missing")</f>
        <v>25.752111657584312</v>
      </c>
      <c r="K109" s="131"/>
      <c r="L109" s="22">
        <f ca="1">IFERROR(INDEX(Spark_Spread_On,MATCH($C109,Adjustments!$H$3:$H$14,0),1)+IF(INDEX(Spark_Spread_On,MATCH($C109,Adjustments!$H$3:$H$14,0),1)&gt;1,INDEX(Spark_Spread_On,MATCH($C109,Adjustments!$H$3:$H$14,0),1)*(Inflation_Rate+BLS_Esc_Rate),-INDEX(Spark_Spread_On,MATCH($C109,Adjustments!$H$3:$H$14,0),1)*(Inflation_Rate+BLS_Esc_Rate)),"Data Missing")</f>
        <v>22.485829134622783</v>
      </c>
      <c r="M109" s="22">
        <f ca="1">IFERROR(INDEX(Spark_Spread_Off,MATCH($C109,Adjustments!$H$3:$H$14,0),1)+IF(INDEX(Spark_Spread_Off,MATCH($C109,Adjustments!$H$3:$H$14,0),1)&gt;1,INDEX(Spark_Spread_Off,MATCH($C109,Adjustments!$H$3:$H$14,0),1)*(Inflation_Rate+BLS_Esc_Rate),-INDEX(Spark_Spread_Off,MATCH($C109,Adjustments!$H$3:$H$14,0),1)*(Inflation_Rate+BLS_Esc_Rate)),"Data Missing")</f>
        <v>20.092402274981513</v>
      </c>
      <c r="N109" s="131"/>
      <c r="O109" s="15">
        <f t="shared" ca="1" si="9"/>
        <v>59.879956515238234</v>
      </c>
      <c r="P109" s="15">
        <f t="shared" ca="1" si="8"/>
        <v>45.844513932565825</v>
      </c>
    </row>
    <row r="110" spans="1:16" x14ac:dyDescent="0.25">
      <c r="A110" s="3">
        <v>108</v>
      </c>
      <c r="B110" s="19">
        <f t="shared" si="10"/>
        <v>49279</v>
      </c>
      <c r="C110" s="9" t="str">
        <f t="shared" si="11"/>
        <v>Dec</v>
      </c>
      <c r="D110" s="9">
        <f t="shared" si="12"/>
        <v>2034</v>
      </c>
      <c r="E110" s="9" t="str">
        <f>INDEX(Seasons,MATCH($C110,'General Inputs'!$B$20:$B$31,0),1)</f>
        <v>Winter</v>
      </c>
      <c r="F110" s="22">
        <f>'Elec Futures'!H110</f>
        <v>0</v>
      </c>
      <c r="G110" s="22">
        <f>'Elec Futures'!I110</f>
        <v>0</v>
      </c>
      <c r="H110" s="131"/>
      <c r="I110" s="22">
        <f>IFERROR('NG Futures'!$I116*HR_Low_Plant/1000,"Data Missing")</f>
        <v>62.666220898720461</v>
      </c>
      <c r="J110" s="22">
        <f>IFERROR('NG Futures'!$I116*HR_High_Plant/1000,"Data Missing")</f>
        <v>43.156175335147836</v>
      </c>
      <c r="K110" s="131"/>
      <c r="L110" s="22">
        <f ca="1">IFERROR(INDEX(Spark_Spread_On,MATCH($C110,Adjustments!$H$3:$H$14,0),1)+IF(INDEX(Spark_Spread_On,MATCH($C110,Adjustments!$H$3:$H$14,0),1)&gt;1,INDEX(Spark_Spread_On,MATCH($C110,Adjustments!$H$3:$H$14,0),1)*(Inflation_Rate+BLS_Esc_Rate),-INDEX(Spark_Spread_On,MATCH($C110,Adjustments!$H$3:$H$14,0),1)*(Inflation_Rate+BLS_Esc_Rate)),"Data Missing")</f>
        <v>11.430346668590539</v>
      </c>
      <c r="M110" s="22">
        <f ca="1">IFERROR(INDEX(Spark_Spread_Off,MATCH($C110,Adjustments!$H$3:$H$14,0),1)+IF(INDEX(Spark_Spread_Off,MATCH($C110,Adjustments!$H$3:$H$14,0),1)&gt;1,INDEX(Spark_Spread_Off,MATCH($C110,Adjustments!$H$3:$H$14,0),1)*(Inflation_Rate+BLS_Esc_Rate),-INDEX(Spark_Spread_Off,MATCH($C110,Adjustments!$H$3:$H$14,0),1)*(Inflation_Rate+BLS_Esc_Rate)),"Data Missing")</f>
        <v>16.391451942721986</v>
      </c>
      <c r="N110" s="131"/>
      <c r="O110" s="15">
        <f t="shared" ca="1" si="9"/>
        <v>74.096567567310998</v>
      </c>
      <c r="P110" s="15">
        <f t="shared" ca="1" si="8"/>
        <v>59.547627277869822</v>
      </c>
    </row>
    <row r="111" spans="1:16" x14ac:dyDescent="0.25">
      <c r="A111" s="3">
        <v>109</v>
      </c>
      <c r="B111" s="19">
        <f t="shared" si="10"/>
        <v>49310</v>
      </c>
      <c r="C111" s="9" t="str">
        <f t="shared" si="11"/>
        <v>Jan</v>
      </c>
      <c r="D111" s="9">
        <f t="shared" si="12"/>
        <v>2035</v>
      </c>
      <c r="E111" s="9" t="str">
        <f>INDEX(Seasons,MATCH($C111,'General Inputs'!$B$20:$B$31,0),1)</f>
        <v>Winter</v>
      </c>
      <c r="F111" s="22">
        <f>'Elec Futures'!H111</f>
        <v>0</v>
      </c>
      <c r="G111" s="22">
        <f>'Elec Futures'!I111</f>
        <v>0</v>
      </c>
      <c r="H111" s="131"/>
      <c r="I111" s="22">
        <f>IFERROR('NG Futures'!$I117*HR_Low_Plant/1000,"Data Missing")</f>
        <v>96.754129066335508</v>
      </c>
      <c r="J111" s="22">
        <f>IFERROR('NG Futures'!$I117*HR_High_Plant/1000,"Data Missing")</f>
        <v>66.631402029726615</v>
      </c>
      <c r="K111" s="131"/>
      <c r="L111" s="22">
        <f ca="1">IFERROR(INDEX(Spark_Spread_On,MATCH($C111,Adjustments!$H$3:$H$14,0),1)+IF(INDEX(Spark_Spread_On,MATCH($C111,Adjustments!$H$3:$H$14,0),1)&gt;1,INDEX(Spark_Spread_On,MATCH($C111,Adjustments!$H$3:$H$14,0),1)*(Inflation_Rate+BLS_Esc_Rate),-INDEX(Spark_Spread_On,MATCH($C111,Adjustments!$H$3:$H$14,0),1)*(Inflation_Rate+BLS_Esc_Rate)),"Data Missing")</f>
        <v>5.8685378940686794</v>
      </c>
      <c r="M111" s="22">
        <f ca="1">IFERROR(INDEX(Spark_Spread_Off,MATCH($C111,Adjustments!$H$3:$H$14,0),1)+IF(INDEX(Spark_Spread_Off,MATCH($C111,Adjustments!$H$3:$H$14,0),1)&gt;1,INDEX(Spark_Spread_Off,MATCH($C111,Adjustments!$H$3:$H$14,0),1)*(Inflation_Rate+BLS_Esc_Rate),-INDEX(Spark_Spread_Off,MATCH($C111,Adjustments!$H$3:$H$14,0),1)*(Inflation_Rate+BLS_Esc_Rate)),"Data Missing")</f>
        <v>16.761915371452087</v>
      </c>
      <c r="N111" s="131"/>
      <c r="O111" s="15">
        <f t="shared" ca="1" si="9"/>
        <v>102.62266696040419</v>
      </c>
      <c r="P111" s="15">
        <f t="shared" ca="1" si="8"/>
        <v>83.393317401178706</v>
      </c>
    </row>
    <row r="112" spans="1:16" x14ac:dyDescent="0.25">
      <c r="A112" s="3">
        <v>110</v>
      </c>
      <c r="B112" s="19">
        <f t="shared" si="10"/>
        <v>49341</v>
      </c>
      <c r="C112" s="9" t="str">
        <f t="shared" si="11"/>
        <v>Feb</v>
      </c>
      <c r="D112" s="9">
        <f t="shared" si="12"/>
        <v>2035</v>
      </c>
      <c r="E112" s="9" t="str">
        <f>INDEX(Seasons,MATCH($C112,'General Inputs'!$B$20:$B$31,0),1)</f>
        <v>Winter</v>
      </c>
      <c r="F112" s="22">
        <f>'Elec Futures'!H112</f>
        <v>0</v>
      </c>
      <c r="G112" s="22">
        <f>'Elec Futures'!I112</f>
        <v>0</v>
      </c>
      <c r="H112" s="131"/>
      <c r="I112" s="22">
        <f>IFERROR('NG Futures'!$I118*HR_Low_Plant/1000,"Data Missing")</f>
        <v>85.253809918248137</v>
      </c>
      <c r="J112" s="22">
        <f>IFERROR('NG Futures'!$I118*HR_High_Plant/1000,"Data Missing")</f>
        <v>58.711508625477144</v>
      </c>
      <c r="K112" s="131"/>
      <c r="L112" s="22">
        <f ca="1">IFERROR(INDEX(Spark_Spread_On,MATCH($C112,Adjustments!$H$3:$H$14,0),1)+IF(INDEX(Spark_Spread_On,MATCH($C112,Adjustments!$H$3:$H$14,0),1)&gt;1,INDEX(Spark_Spread_On,MATCH($C112,Adjustments!$H$3:$H$14,0),1)*(Inflation_Rate+BLS_Esc_Rate),-INDEX(Spark_Spread_On,MATCH($C112,Adjustments!$H$3:$H$14,0),1)*(Inflation_Rate+BLS_Esc_Rate)),"Data Missing")</f>
        <v>5.7233949711767895</v>
      </c>
      <c r="M112" s="22">
        <f ca="1">IFERROR(INDEX(Spark_Spread_Off,MATCH($C112,Adjustments!$H$3:$H$14,0),1)+IF(INDEX(Spark_Spread_Off,MATCH($C112,Adjustments!$H$3:$H$14,0),1)&gt;1,INDEX(Spark_Spread_Off,MATCH($C112,Adjustments!$H$3:$H$14,0),1)*(Inflation_Rate+BLS_Esc_Rate),-INDEX(Spark_Spread_Off,MATCH($C112,Adjustments!$H$3:$H$14,0),1)*(Inflation_Rate+BLS_Esc_Rate)),"Data Missing")</f>
        <v>15.231728502085021</v>
      </c>
      <c r="N112" s="131"/>
      <c r="O112" s="15">
        <f t="shared" ca="1" si="9"/>
        <v>90.977204889424925</v>
      </c>
      <c r="P112" s="15">
        <f t="shared" ca="1" si="8"/>
        <v>73.94323712756217</v>
      </c>
    </row>
    <row r="113" spans="1:16" x14ac:dyDescent="0.25">
      <c r="A113" s="3">
        <v>111</v>
      </c>
      <c r="B113" s="19">
        <f t="shared" si="10"/>
        <v>49369</v>
      </c>
      <c r="C113" s="9" t="str">
        <f t="shared" si="11"/>
        <v>Mar</v>
      </c>
      <c r="D113" s="9">
        <f t="shared" si="12"/>
        <v>2035</v>
      </c>
      <c r="E113" s="9" t="str">
        <f>INDEX(Seasons,MATCH($C113,'General Inputs'!$B$20:$B$31,0),1)</f>
        <v>Shoulder</v>
      </c>
      <c r="F113" s="22">
        <f>'Elec Futures'!H113</f>
        <v>0</v>
      </c>
      <c r="G113" s="22">
        <f>'Elec Futures'!I113</f>
        <v>0</v>
      </c>
      <c r="H113" s="131"/>
      <c r="I113" s="22">
        <f>IFERROR('NG Futures'!$I119*HR_Low_Plant/1000,"Data Missing")</f>
        <v>46.027387993072402</v>
      </c>
      <c r="J113" s="22">
        <f>IFERROR('NG Futures'!$I119*HR_High_Plant/1000,"Data Missing")</f>
        <v>31.697555684077784</v>
      </c>
      <c r="K113" s="131"/>
      <c r="L113" s="22">
        <f ca="1">IFERROR(INDEX(Spark_Spread_On,MATCH($C113,Adjustments!$H$3:$H$14,0),1)+IF(INDEX(Spark_Spread_On,MATCH($C113,Adjustments!$H$3:$H$14,0),1)&gt;1,INDEX(Spark_Spread_On,MATCH($C113,Adjustments!$H$3:$H$14,0),1)*(Inflation_Rate+BLS_Esc_Rate),-INDEX(Spark_Spread_On,MATCH($C113,Adjustments!$H$3:$H$14,0),1)*(Inflation_Rate+BLS_Esc_Rate)),"Data Missing")</f>
        <v>16.528539996336317</v>
      </c>
      <c r="M113" s="22">
        <f ca="1">IFERROR(INDEX(Spark_Spread_Off,MATCH($C113,Adjustments!$H$3:$H$14,0),1)+IF(INDEX(Spark_Spread_Off,MATCH($C113,Adjustments!$H$3:$H$14,0),1)&gt;1,INDEX(Spark_Spread_Off,MATCH($C113,Adjustments!$H$3:$H$14,0),1)*(Inflation_Rate+BLS_Esc_Rate),-INDEX(Spark_Spread_Off,MATCH($C113,Adjustments!$H$3:$H$14,0),1)*(Inflation_Rate+BLS_Esc_Rate)),"Data Missing")</f>
        <v>18.910646100880385</v>
      </c>
      <c r="N113" s="131"/>
      <c r="O113" s="15">
        <f t="shared" ca="1" si="9"/>
        <v>62.555927989408715</v>
      </c>
      <c r="P113" s="15">
        <f t="shared" ca="1" si="8"/>
        <v>50.608201784958169</v>
      </c>
    </row>
    <row r="114" spans="1:16" x14ac:dyDescent="0.25">
      <c r="A114" s="3">
        <v>112</v>
      </c>
      <c r="B114" s="19">
        <f t="shared" si="10"/>
        <v>49400</v>
      </c>
      <c r="C114" s="9" t="str">
        <f t="shared" si="11"/>
        <v>Apr</v>
      </c>
      <c r="D114" s="9">
        <f t="shared" si="12"/>
        <v>2035</v>
      </c>
      <c r="E114" s="9" t="str">
        <f>INDEX(Seasons,MATCH($C114,'General Inputs'!$B$20:$B$31,0),1)</f>
        <v>Shoulder</v>
      </c>
      <c r="F114" s="22">
        <f>'Elec Futures'!H114</f>
        <v>0</v>
      </c>
      <c r="G114" s="22">
        <f>'Elec Futures'!I114</f>
        <v>0</v>
      </c>
      <c r="H114" s="131"/>
      <c r="I114" s="22">
        <f>IFERROR('NG Futures'!$I120*HR_Low_Plant/1000,"Data Missing")</f>
        <v>37.991316474464483</v>
      </c>
      <c r="J114" s="22">
        <f>IFERROR('NG Futures'!$I120*HR_High_Plant/1000,"Data Missing")</f>
        <v>26.163376241163395</v>
      </c>
      <c r="K114" s="131"/>
      <c r="L114" s="22">
        <f ca="1">IFERROR(INDEX(Spark_Spread_On,MATCH($C114,Adjustments!$H$3:$H$14,0),1)+IF(INDEX(Spark_Spread_On,MATCH($C114,Adjustments!$H$3:$H$14,0),1)&gt;1,INDEX(Spark_Spread_On,MATCH($C114,Adjustments!$H$3:$H$14,0),1)*(Inflation_Rate+BLS_Esc_Rate),-INDEX(Spark_Spread_On,MATCH($C114,Adjustments!$H$3:$H$14,0),1)*(Inflation_Rate+BLS_Esc_Rate)),"Data Missing")</f>
        <v>22.38036101423787</v>
      </c>
      <c r="M114" s="22">
        <f ca="1">IFERROR(INDEX(Spark_Spread_Off,MATCH($C114,Adjustments!$H$3:$H$14,0),1)+IF(INDEX(Spark_Spread_Off,MATCH($C114,Adjustments!$H$3:$H$14,0),1)&gt;1,INDEX(Spark_Spread_Off,MATCH($C114,Adjustments!$H$3:$H$14,0),1)*(Inflation_Rate+BLS_Esc_Rate),-INDEX(Spark_Spread_Off,MATCH($C114,Adjustments!$H$3:$H$14,0),1)*(Inflation_Rate+BLS_Esc_Rate)),"Data Missing")</f>
        <v>18.258127438419208</v>
      </c>
      <c r="N114" s="131"/>
      <c r="O114" s="15">
        <f t="shared" ca="1" si="9"/>
        <v>60.371677488702353</v>
      </c>
      <c r="P114" s="15">
        <f t="shared" ca="1" si="8"/>
        <v>44.421503679582599</v>
      </c>
    </row>
    <row r="115" spans="1:16" x14ac:dyDescent="0.25">
      <c r="A115" s="3">
        <v>113</v>
      </c>
      <c r="B115" s="19">
        <f t="shared" si="10"/>
        <v>49430</v>
      </c>
      <c r="C115" s="9" t="str">
        <f t="shared" si="11"/>
        <v>May</v>
      </c>
      <c r="D115" s="9">
        <f t="shared" si="12"/>
        <v>2035</v>
      </c>
      <c r="E115" s="9" t="str">
        <f>INDEX(Seasons,MATCH($C115,'General Inputs'!$B$20:$B$31,0),1)</f>
        <v>Summer</v>
      </c>
      <c r="F115" s="22">
        <f>'Elec Futures'!H115</f>
        <v>0</v>
      </c>
      <c r="G115" s="22">
        <f>'Elec Futures'!I115</f>
        <v>0</v>
      </c>
      <c r="H115" s="131"/>
      <c r="I115" s="22">
        <f>IFERROR('NG Futures'!$I121*HR_Low_Plant/1000,"Data Missing")</f>
        <v>33.520673945158457</v>
      </c>
      <c r="J115" s="22">
        <f>IFERROR('NG Futures'!$I121*HR_High_Plant/1000,"Data Missing")</f>
        <v>23.084591050537053</v>
      </c>
      <c r="K115" s="131"/>
      <c r="L115" s="22">
        <f ca="1">IFERROR(INDEX(Spark_Spread_On,MATCH($C115,Adjustments!$H$3:$H$14,0),1)+IF(INDEX(Spark_Spread_On,MATCH($C115,Adjustments!$H$3:$H$14,0),1)&gt;1,INDEX(Spark_Spread_On,MATCH($C115,Adjustments!$H$3:$H$14,0),1)*(Inflation_Rate+BLS_Esc_Rate),-INDEX(Spark_Spread_On,MATCH($C115,Adjustments!$H$3:$H$14,0),1)*(Inflation_Rate+BLS_Esc_Rate)),"Data Missing")</f>
        <v>26.985629754035614</v>
      </c>
      <c r="M115" s="22">
        <f ca="1">IFERROR(INDEX(Spark_Spread_Off,MATCH($C115,Adjustments!$H$3:$H$14,0),1)+IF(INDEX(Spark_Spread_Off,MATCH($C115,Adjustments!$H$3:$H$14,0),1)&gt;1,INDEX(Spark_Spread_Off,MATCH($C115,Adjustments!$H$3:$H$14,0),1)*(Inflation_Rate+BLS_Esc_Rate),-INDEX(Spark_Spread_Off,MATCH($C115,Adjustments!$H$3:$H$14,0),1)*(Inflation_Rate+BLS_Esc_Rate)),"Data Missing")</f>
        <v>16.780298980176973</v>
      </c>
      <c r="N115" s="131"/>
      <c r="O115" s="15">
        <f t="shared" ca="1" si="9"/>
        <v>60.506303699194071</v>
      </c>
      <c r="P115" s="15">
        <f t="shared" ca="1" si="8"/>
        <v>39.864890030714022</v>
      </c>
    </row>
    <row r="116" spans="1:16" x14ac:dyDescent="0.25">
      <c r="A116" s="3">
        <v>114</v>
      </c>
      <c r="B116" s="19">
        <f t="shared" si="10"/>
        <v>49461</v>
      </c>
      <c r="C116" s="9" t="str">
        <f t="shared" si="11"/>
        <v>Jun</v>
      </c>
      <c r="D116" s="9">
        <f t="shared" si="12"/>
        <v>2035</v>
      </c>
      <c r="E116" s="9" t="str">
        <f>INDEX(Seasons,MATCH($C116,'General Inputs'!$B$20:$B$31,0),1)</f>
        <v>Summer</v>
      </c>
      <c r="F116" s="22">
        <f>'Elec Futures'!H116</f>
        <v>0</v>
      </c>
      <c r="G116" s="22">
        <f>'Elec Futures'!I116</f>
        <v>0</v>
      </c>
      <c r="H116" s="131"/>
      <c r="I116" s="22">
        <f>IFERROR('NG Futures'!$I122*HR_Low_Plant/1000,"Data Missing")</f>
        <v>33.416565000715629</v>
      </c>
      <c r="J116" s="22">
        <f>IFERROR('NG Futures'!$I122*HR_High_Plant/1000,"Data Missing")</f>
        <v>23.012894627872704</v>
      </c>
      <c r="K116" s="131"/>
      <c r="L116" s="22">
        <f ca="1">IFERROR(INDEX(Spark_Spread_On,MATCH($C116,Adjustments!$H$3:$H$14,0),1)+IF(INDEX(Spark_Spread_On,MATCH($C116,Adjustments!$H$3:$H$14,0),1)&gt;1,INDEX(Spark_Spread_On,MATCH($C116,Adjustments!$H$3:$H$14,0),1)*(Inflation_Rate+BLS_Esc_Rate),-INDEX(Spark_Spread_On,MATCH($C116,Adjustments!$H$3:$H$14,0),1)*(Inflation_Rate+BLS_Esc_Rate)),"Data Missing")</f>
        <v>32.794481155748485</v>
      </c>
      <c r="M116" s="22">
        <f ca="1">IFERROR(INDEX(Spark_Spread_Off,MATCH($C116,Adjustments!$H$3:$H$14,0),1)+IF(INDEX(Spark_Spread_Off,MATCH($C116,Adjustments!$H$3:$H$14,0),1)&gt;1,INDEX(Spark_Spread_Off,MATCH($C116,Adjustments!$H$3:$H$14,0),1)*(Inflation_Rate+BLS_Esc_Rate),-INDEX(Spark_Spread_Off,MATCH($C116,Adjustments!$H$3:$H$14,0),1)*(Inflation_Rate+BLS_Esc_Rate)),"Data Missing")</f>
        <v>16.358897919725173</v>
      </c>
      <c r="N116" s="131"/>
      <c r="O116" s="15">
        <f t="shared" ca="1" si="9"/>
        <v>66.211046156464107</v>
      </c>
      <c r="P116" s="15">
        <f t="shared" ca="1" si="8"/>
        <v>39.371792547597877</v>
      </c>
    </row>
    <row r="117" spans="1:16" x14ac:dyDescent="0.25">
      <c r="A117" s="3">
        <v>115</v>
      </c>
      <c r="B117" s="19">
        <f t="shared" si="10"/>
        <v>49491</v>
      </c>
      <c r="C117" s="9" t="str">
        <f t="shared" si="11"/>
        <v>Jul</v>
      </c>
      <c r="D117" s="9">
        <f t="shared" si="12"/>
        <v>2035</v>
      </c>
      <c r="E117" s="9" t="str">
        <f>INDEX(Seasons,MATCH($C117,'General Inputs'!$B$20:$B$31,0),1)</f>
        <v>Summer</v>
      </c>
      <c r="F117" s="22">
        <f>'Elec Futures'!H117</f>
        <v>0</v>
      </c>
      <c r="G117" s="22">
        <f>'Elec Futures'!I117</f>
        <v>0</v>
      </c>
      <c r="H117" s="131"/>
      <c r="I117" s="22">
        <f>IFERROR('NG Futures'!$I123*HR_Low_Plant/1000,"Data Missing")</f>
        <v>34.555654993201166</v>
      </c>
      <c r="J117" s="22">
        <f>IFERROR('NG Futures'!$I123*HR_High_Plant/1000,"Data Missing")</f>
        <v>23.797348624510978</v>
      </c>
      <c r="K117" s="131"/>
      <c r="L117" s="22">
        <f ca="1">IFERROR(INDEX(Spark_Spread_On,MATCH($C117,Adjustments!$H$3:$H$14,0),1)+IF(INDEX(Spark_Spread_On,MATCH($C117,Adjustments!$H$3:$H$14,0),1)&gt;1,INDEX(Spark_Spread_On,MATCH($C117,Adjustments!$H$3:$H$14,0),1)*(Inflation_Rate+BLS_Esc_Rate),-INDEX(Spark_Spread_On,MATCH($C117,Adjustments!$H$3:$H$14,0),1)*(Inflation_Rate+BLS_Esc_Rate)),"Data Missing")</f>
        <v>60.778479645687867</v>
      </c>
      <c r="M117" s="22">
        <f ca="1">IFERROR(INDEX(Spark_Spread_Off,MATCH($C117,Adjustments!$H$3:$H$14,0),1)+IF(INDEX(Spark_Spread_Off,MATCH($C117,Adjustments!$H$3:$H$14,0),1)&gt;1,INDEX(Spark_Spread_Off,MATCH($C117,Adjustments!$H$3:$H$14,0),1)*(Inflation_Rate+BLS_Esc_Rate),-INDEX(Spark_Spread_Off,MATCH($C117,Adjustments!$H$3:$H$14,0),1)*(Inflation_Rate+BLS_Esc_Rate)),"Data Missing")</f>
        <v>23.644134063075864</v>
      </c>
      <c r="N117" s="131"/>
      <c r="O117" s="15">
        <f t="shared" ca="1" si="9"/>
        <v>95.334134638889026</v>
      </c>
      <c r="P117" s="15">
        <f t="shared" ca="1" si="8"/>
        <v>47.441482687586841</v>
      </c>
    </row>
    <row r="118" spans="1:16" x14ac:dyDescent="0.25">
      <c r="A118" s="3">
        <v>116</v>
      </c>
      <c r="B118" s="19">
        <f t="shared" si="10"/>
        <v>49522</v>
      </c>
      <c r="C118" s="9" t="str">
        <f t="shared" si="11"/>
        <v>Aug</v>
      </c>
      <c r="D118" s="9">
        <f t="shared" si="12"/>
        <v>2035</v>
      </c>
      <c r="E118" s="9" t="str">
        <f>INDEX(Seasons,MATCH($C118,'General Inputs'!$B$20:$B$31,0),1)</f>
        <v>Summer</v>
      </c>
      <c r="F118" s="22">
        <f>'Elec Futures'!H118</f>
        <v>0</v>
      </c>
      <c r="G118" s="22">
        <f>'Elec Futures'!I118</f>
        <v>0</v>
      </c>
      <c r="H118" s="131"/>
      <c r="I118" s="22">
        <f>IFERROR('NG Futures'!$I124*HR_Low_Plant/1000,"Data Missing")</f>
        <v>35.021493216333845</v>
      </c>
      <c r="J118" s="22">
        <f>IFERROR('NG Futures'!$I124*HR_High_Plant/1000,"Data Missing")</f>
        <v>24.118156162399991</v>
      </c>
      <c r="K118" s="131"/>
      <c r="L118" s="22">
        <f ca="1">IFERROR(INDEX(Spark_Spread_On,MATCH($C118,Adjustments!$H$3:$H$14,0),1)+IF(INDEX(Spark_Spread_On,MATCH($C118,Adjustments!$H$3:$H$14,0),1)&gt;1,INDEX(Spark_Spread_On,MATCH($C118,Adjustments!$H$3:$H$14,0),1)*(Inflation_Rate+BLS_Esc_Rate),-INDEX(Spark_Spread_On,MATCH($C118,Adjustments!$H$3:$H$14,0),1)*(Inflation_Rate+BLS_Esc_Rate)),"Data Missing")</f>
        <v>48.689674403055982</v>
      </c>
      <c r="M118" s="22">
        <f ca="1">IFERROR(INDEX(Spark_Spread_Off,MATCH($C118,Adjustments!$H$3:$H$14,0),1)+IF(INDEX(Spark_Spread_Off,MATCH($C118,Adjustments!$H$3:$H$14,0),1)&gt;1,INDEX(Spark_Spread_Off,MATCH($C118,Adjustments!$H$3:$H$14,0),1)*(Inflation_Rate+BLS_Esc_Rate),-INDEX(Spark_Spread_Off,MATCH($C118,Adjustments!$H$3:$H$14,0),1)*(Inflation_Rate+BLS_Esc_Rate)),"Data Missing")</f>
        <v>19.08142511960634</v>
      </c>
      <c r="N118" s="131"/>
      <c r="O118" s="15">
        <f t="shared" ca="1" si="9"/>
        <v>83.711167619389826</v>
      </c>
      <c r="P118" s="15">
        <f t="shared" ca="1" si="8"/>
        <v>43.199581282006335</v>
      </c>
    </row>
    <row r="119" spans="1:16" x14ac:dyDescent="0.25">
      <c r="A119" s="3">
        <v>117</v>
      </c>
      <c r="B119" s="19">
        <f t="shared" si="10"/>
        <v>49553</v>
      </c>
      <c r="C119" s="9" t="str">
        <f t="shared" si="11"/>
        <v>Sep</v>
      </c>
      <c r="D119" s="9">
        <f t="shared" si="12"/>
        <v>2035</v>
      </c>
      <c r="E119" s="9" t="str">
        <f>INDEX(Seasons,MATCH($C119,'General Inputs'!$B$20:$B$31,0),1)</f>
        <v>Summer</v>
      </c>
      <c r="F119" s="22">
        <f>'Elec Futures'!H119</f>
        <v>0</v>
      </c>
      <c r="G119" s="22">
        <f>'Elec Futures'!I119</f>
        <v>0</v>
      </c>
      <c r="H119" s="131"/>
      <c r="I119" s="22">
        <f>IFERROR('NG Futures'!$I125*HR_Low_Plant/1000,"Data Missing")</f>
        <v>29.709409341036984</v>
      </c>
      <c r="J119" s="22">
        <f>IFERROR('NG Futures'!$I125*HR_High_Plant/1000,"Data Missing")</f>
        <v>20.4598978562572</v>
      </c>
      <c r="K119" s="131"/>
      <c r="L119" s="22">
        <f ca="1">IFERROR(INDEX(Spark_Spread_On,MATCH($C119,Adjustments!$H$3:$H$14,0),1)+IF(INDEX(Spark_Spread_On,MATCH($C119,Adjustments!$H$3:$H$14,0),1)&gt;1,INDEX(Spark_Spread_On,MATCH($C119,Adjustments!$H$3:$H$14,0),1)*(Inflation_Rate+BLS_Esc_Rate),-INDEX(Spark_Spread_On,MATCH($C119,Adjustments!$H$3:$H$14,0),1)*(Inflation_Rate+BLS_Esc_Rate)),"Data Missing")</f>
        <v>33.852941430998882</v>
      </c>
      <c r="M119" s="22">
        <f ca="1">IFERROR(INDEX(Spark_Spread_Off,MATCH($C119,Adjustments!$H$3:$H$14,0),1)+IF(INDEX(Spark_Spread_Off,MATCH($C119,Adjustments!$H$3:$H$14,0),1)&gt;1,INDEX(Spark_Spread_Off,MATCH($C119,Adjustments!$H$3:$H$14,0),1)*(Inflation_Rate+BLS_Esc_Rate),-INDEX(Spark_Spread_Off,MATCH($C119,Adjustments!$H$3:$H$14,0),1)*(Inflation_Rate+BLS_Esc_Rate)),"Data Missing")</f>
        <v>17.63955138931739</v>
      </c>
      <c r="N119" s="131"/>
      <c r="O119" s="15">
        <f t="shared" ca="1" si="9"/>
        <v>63.56235077203587</v>
      </c>
      <c r="P119" s="15">
        <f t="shared" ca="1" si="8"/>
        <v>38.09944924557459</v>
      </c>
    </row>
    <row r="120" spans="1:16" x14ac:dyDescent="0.25">
      <c r="A120" s="3">
        <v>118</v>
      </c>
      <c r="B120" s="19">
        <f t="shared" si="10"/>
        <v>49583</v>
      </c>
      <c r="C120" s="9" t="str">
        <f t="shared" si="11"/>
        <v>Oct</v>
      </c>
      <c r="D120" s="9">
        <f t="shared" si="12"/>
        <v>2035</v>
      </c>
      <c r="E120" s="9" t="str">
        <f>INDEX(Seasons,MATCH($C120,'General Inputs'!$B$20:$B$31,0),1)</f>
        <v>Shoulder</v>
      </c>
      <c r="F120" s="22">
        <f>'Elec Futures'!H120</f>
        <v>0</v>
      </c>
      <c r="G120" s="22">
        <f>'Elec Futures'!I120</f>
        <v>0</v>
      </c>
      <c r="H120" s="131"/>
      <c r="I120" s="22">
        <f>IFERROR('NG Futures'!$I126*HR_Low_Plant/1000,"Data Missing")</f>
        <v>30.216501985286836</v>
      </c>
      <c r="J120" s="22">
        <f>IFERROR('NG Futures'!$I126*HR_High_Plant/1000,"Data Missing")</f>
        <v>20.809115963756916</v>
      </c>
      <c r="K120" s="131"/>
      <c r="L120" s="22">
        <f ca="1">IFERROR(INDEX(Spark_Spread_On,MATCH($C120,Adjustments!$H$3:$H$14,0),1)+IF(INDEX(Spark_Spread_On,MATCH($C120,Adjustments!$H$3:$H$14,0),1)&gt;1,INDEX(Spark_Spread_On,MATCH($C120,Adjustments!$H$3:$H$14,0),1)*(Inflation_Rate+BLS_Esc_Rate),-INDEX(Spark_Spread_On,MATCH($C120,Adjustments!$H$3:$H$14,0),1)*(Inflation_Rate+BLS_Esc_Rate)),"Data Missing")</f>
        <v>29.40002941858754</v>
      </c>
      <c r="M120" s="22">
        <f ca="1">IFERROR(INDEX(Spark_Spread_Off,MATCH($C120,Adjustments!$H$3:$H$14,0),1)+IF(INDEX(Spark_Spread_Off,MATCH($C120,Adjustments!$H$3:$H$14,0),1)&gt;1,INDEX(Spark_Spread_Off,MATCH($C120,Adjustments!$H$3:$H$14,0),1)*(Inflation_Rate+BLS_Esc_Rate),-INDEX(Spark_Spread_Off,MATCH($C120,Adjustments!$H$3:$H$14,0),1)*(Inflation_Rate+BLS_Esc_Rate)),"Data Missing")</f>
        <v>20.150009298264372</v>
      </c>
      <c r="N120" s="131"/>
      <c r="O120" s="15">
        <f t="shared" ca="1" si="9"/>
        <v>59.616531403874376</v>
      </c>
      <c r="P120" s="15">
        <f t="shared" ca="1" si="8"/>
        <v>40.959125262021288</v>
      </c>
    </row>
    <row r="121" spans="1:16" x14ac:dyDescent="0.25">
      <c r="A121" s="3">
        <v>119</v>
      </c>
      <c r="B121" s="19">
        <f t="shared" si="10"/>
        <v>49614</v>
      </c>
      <c r="C121" s="9" t="str">
        <f t="shared" si="11"/>
        <v>Nov</v>
      </c>
      <c r="D121" s="9">
        <f t="shared" si="12"/>
        <v>2035</v>
      </c>
      <c r="E121" s="9" t="str">
        <f>INDEX(Seasons,MATCH($C121,'General Inputs'!$B$20:$B$31,0),1)</f>
        <v>Shoulder</v>
      </c>
      <c r="F121" s="22">
        <f>'Elec Futures'!H121</f>
        <v>0</v>
      </c>
      <c r="G121" s="22">
        <f>'Elec Futures'!I121</f>
        <v>0</v>
      </c>
      <c r="H121" s="131"/>
      <c r="I121" s="22">
        <f>IFERROR('NG Futures'!$I127*HR_Low_Plant/1000,"Data Missing")</f>
        <v>40.054638519182021</v>
      </c>
      <c r="J121" s="22">
        <f>IFERROR('NG Futures'!$I127*HR_High_Plant/1000,"Data Missing")</f>
        <v>27.584318603055909</v>
      </c>
      <c r="K121" s="131"/>
      <c r="L121" s="22">
        <f ca="1">IFERROR(INDEX(Spark_Spread_On,MATCH($C121,Adjustments!$H$3:$H$14,0),1)+IF(INDEX(Spark_Spread_On,MATCH($C121,Adjustments!$H$3:$H$14,0),1)&gt;1,INDEX(Spark_Spread_On,MATCH($C121,Adjustments!$H$3:$H$14,0),1)*(Inflation_Rate+BLS_Esc_Rate),-INDEX(Spark_Spread_On,MATCH($C121,Adjustments!$H$3:$H$14,0),1)*(Inflation_Rate+BLS_Esc_Rate)),"Data Missing")</f>
        <v>22.485829134622783</v>
      </c>
      <c r="M121" s="22">
        <f ca="1">IFERROR(INDEX(Spark_Spread_Off,MATCH($C121,Adjustments!$H$3:$H$14,0),1)+IF(INDEX(Spark_Spread_Off,MATCH($C121,Adjustments!$H$3:$H$14,0),1)&gt;1,INDEX(Spark_Spread_Off,MATCH($C121,Adjustments!$H$3:$H$14,0),1)*(Inflation_Rate+BLS_Esc_Rate),-INDEX(Spark_Spread_Off,MATCH($C121,Adjustments!$H$3:$H$14,0),1)*(Inflation_Rate+BLS_Esc_Rate)),"Data Missing")</f>
        <v>20.092402274981513</v>
      </c>
      <c r="N121" s="131"/>
      <c r="O121" s="15">
        <f t="shared" ca="1" si="9"/>
        <v>62.540467653804804</v>
      </c>
      <c r="P121" s="15">
        <f t="shared" ca="1" si="8"/>
        <v>47.676720878037422</v>
      </c>
    </row>
    <row r="122" spans="1:16" x14ac:dyDescent="0.25">
      <c r="A122" s="3">
        <v>120</v>
      </c>
      <c r="B122" s="19">
        <f t="shared" si="10"/>
        <v>49644</v>
      </c>
      <c r="C122" s="9" t="str">
        <f t="shared" si="11"/>
        <v>Dec</v>
      </c>
      <c r="D122" s="9">
        <f t="shared" si="12"/>
        <v>2035</v>
      </c>
      <c r="E122" s="9" t="str">
        <f>INDEX(Seasons,MATCH($C122,'General Inputs'!$B$20:$B$31,0),1)</f>
        <v>Winter</v>
      </c>
      <c r="F122" s="22">
        <f>'Elec Futures'!H122</f>
        <v>0</v>
      </c>
      <c r="G122" s="22">
        <f>'Elec Futures'!I122</f>
        <v>0</v>
      </c>
      <c r="H122" s="131"/>
      <c r="I122" s="22">
        <f>IFERROR('NG Futures'!$I128*HR_Low_Plant/1000,"Data Missing")</f>
        <v>66.331995979509571</v>
      </c>
      <c r="J122" s="22">
        <f>IFERROR('NG Futures'!$I128*HR_High_Plant/1000,"Data Missing")</f>
        <v>45.680674656423818</v>
      </c>
      <c r="K122" s="131"/>
      <c r="L122" s="22">
        <f ca="1">IFERROR(INDEX(Spark_Spread_On,MATCH($C122,Adjustments!$H$3:$H$14,0),1)+IF(INDEX(Spark_Spread_On,MATCH($C122,Adjustments!$H$3:$H$14,0),1)&gt;1,INDEX(Spark_Spread_On,MATCH($C122,Adjustments!$H$3:$H$14,0),1)*(Inflation_Rate+BLS_Esc_Rate),-INDEX(Spark_Spread_On,MATCH($C122,Adjustments!$H$3:$H$14,0),1)*(Inflation_Rate+BLS_Esc_Rate)),"Data Missing")</f>
        <v>11.430346668590539</v>
      </c>
      <c r="M122" s="22">
        <f ca="1">IFERROR(INDEX(Spark_Spread_Off,MATCH($C122,Adjustments!$H$3:$H$14,0),1)+IF(INDEX(Spark_Spread_Off,MATCH($C122,Adjustments!$H$3:$H$14,0),1)&gt;1,INDEX(Spark_Spread_Off,MATCH($C122,Adjustments!$H$3:$H$14,0),1)*(Inflation_Rate+BLS_Esc_Rate),-INDEX(Spark_Spread_Off,MATCH($C122,Adjustments!$H$3:$H$14,0),1)*(Inflation_Rate+BLS_Esc_Rate)),"Data Missing")</f>
        <v>16.391451942721986</v>
      </c>
      <c r="N122" s="131"/>
      <c r="O122" s="15">
        <f t="shared" ca="1" si="9"/>
        <v>77.762342648100116</v>
      </c>
      <c r="P122" s="15">
        <f t="shared" ca="1" si="8"/>
        <v>62.072126599145804</v>
      </c>
    </row>
    <row r="123" spans="1:16" x14ac:dyDescent="0.25">
      <c r="A123" s="3">
        <v>121</v>
      </c>
      <c r="B123" s="19">
        <f t="shared" si="10"/>
        <v>49675</v>
      </c>
      <c r="C123" s="9" t="str">
        <f t="shared" si="11"/>
        <v>Jan</v>
      </c>
      <c r="D123" s="9">
        <f t="shared" si="12"/>
        <v>2036</v>
      </c>
      <c r="E123" s="9" t="str">
        <f>INDEX(Seasons,MATCH($C123,'General Inputs'!$B$20:$B$31,0),1)</f>
        <v>Winter</v>
      </c>
      <c r="F123" s="22">
        <f>'Elec Futures'!H123</f>
        <v>0</v>
      </c>
      <c r="G123" s="22">
        <f>'Elec Futures'!I123</f>
        <v>0</v>
      </c>
      <c r="H123" s="131"/>
      <c r="I123" s="22">
        <f>IFERROR('NG Futures'!$I129*HR_Low_Plant/1000,"Data Missing")</f>
        <v>101.75477316434731</v>
      </c>
      <c r="J123" s="22">
        <f>IFERROR('NG Futures'!$I129*HR_High_Plant/1000,"Data Missing")</f>
        <v>70.075181954341076</v>
      </c>
      <c r="K123" s="131"/>
      <c r="L123" s="22">
        <f ca="1">IFERROR(INDEX(Spark_Spread_On,MATCH($C123,Adjustments!$H$3:$H$14,0),1)+IF(INDEX(Spark_Spread_On,MATCH($C123,Adjustments!$H$3:$H$14,0),1)&gt;1,INDEX(Spark_Spread_On,MATCH($C123,Adjustments!$H$3:$H$14,0),1)*(Inflation_Rate+BLS_Esc_Rate),-INDEX(Spark_Spread_On,MATCH($C123,Adjustments!$H$3:$H$14,0),1)*(Inflation_Rate+BLS_Esc_Rate)),"Data Missing")</f>
        <v>5.8685378940686794</v>
      </c>
      <c r="M123" s="22">
        <f ca="1">IFERROR(INDEX(Spark_Spread_Off,MATCH($C123,Adjustments!$H$3:$H$14,0),1)+IF(INDEX(Spark_Spread_Off,MATCH($C123,Adjustments!$H$3:$H$14,0),1)&gt;1,INDEX(Spark_Spread_Off,MATCH($C123,Adjustments!$H$3:$H$14,0),1)*(Inflation_Rate+BLS_Esc_Rate),-INDEX(Spark_Spread_Off,MATCH($C123,Adjustments!$H$3:$H$14,0),1)*(Inflation_Rate+BLS_Esc_Rate)),"Data Missing")</f>
        <v>16.761915371452087</v>
      </c>
      <c r="N123" s="131"/>
      <c r="O123" s="15">
        <f t="shared" ca="1" si="9"/>
        <v>107.62331105841599</v>
      </c>
      <c r="P123" s="15">
        <f t="shared" ca="1" si="8"/>
        <v>86.837097325793167</v>
      </c>
    </row>
    <row r="124" spans="1:16" x14ac:dyDescent="0.25">
      <c r="A124" s="3">
        <v>122</v>
      </c>
      <c r="B124" s="19">
        <f t="shared" si="10"/>
        <v>49706</v>
      </c>
      <c r="C124" s="9" t="str">
        <f t="shared" si="11"/>
        <v>Feb</v>
      </c>
      <c r="D124" s="9">
        <f t="shared" si="12"/>
        <v>2036</v>
      </c>
      <c r="E124" s="9" t="str">
        <f>INDEX(Seasons,MATCH($C124,'General Inputs'!$B$20:$B$31,0),1)</f>
        <v>Winter</v>
      </c>
      <c r="F124" s="22">
        <f>'Elec Futures'!H124</f>
        <v>0</v>
      </c>
      <c r="G124" s="22">
        <f>'Elec Futures'!I124</f>
        <v>0</v>
      </c>
      <c r="H124" s="131"/>
      <c r="I124" s="22">
        <f>IFERROR('NG Futures'!$I130*HR_Low_Plant/1000,"Data Missing")</f>
        <v>89.733288761480097</v>
      </c>
      <c r="J124" s="22">
        <f>IFERROR('NG Futures'!$I130*HR_High_Plant/1000,"Data Missing")</f>
        <v>61.796379096301251</v>
      </c>
      <c r="K124" s="131"/>
      <c r="L124" s="22">
        <f ca="1">IFERROR(INDEX(Spark_Spread_On,MATCH($C124,Adjustments!$H$3:$H$14,0),1)+IF(INDEX(Spark_Spread_On,MATCH($C124,Adjustments!$H$3:$H$14,0),1)&gt;1,INDEX(Spark_Spread_On,MATCH($C124,Adjustments!$H$3:$H$14,0),1)*(Inflation_Rate+BLS_Esc_Rate),-INDEX(Spark_Spread_On,MATCH($C124,Adjustments!$H$3:$H$14,0),1)*(Inflation_Rate+BLS_Esc_Rate)),"Data Missing")</f>
        <v>5.7233949711767895</v>
      </c>
      <c r="M124" s="22">
        <f ca="1">IFERROR(INDEX(Spark_Spread_Off,MATCH($C124,Adjustments!$H$3:$H$14,0),1)+IF(INDEX(Spark_Spread_Off,MATCH($C124,Adjustments!$H$3:$H$14,0),1)&gt;1,INDEX(Spark_Spread_Off,MATCH($C124,Adjustments!$H$3:$H$14,0),1)*(Inflation_Rate+BLS_Esc_Rate),-INDEX(Spark_Spread_Off,MATCH($C124,Adjustments!$H$3:$H$14,0),1)*(Inflation_Rate+BLS_Esc_Rate)),"Data Missing")</f>
        <v>15.231728502085021</v>
      </c>
      <c r="N124" s="131"/>
      <c r="O124" s="15">
        <f t="shared" ca="1" si="9"/>
        <v>95.456683732656884</v>
      </c>
      <c r="P124" s="15">
        <f t="shared" ca="1" si="8"/>
        <v>77.028107598386271</v>
      </c>
    </row>
    <row r="125" spans="1:16" x14ac:dyDescent="0.25">
      <c r="A125" s="3">
        <v>123</v>
      </c>
      <c r="B125" s="19">
        <f t="shared" si="10"/>
        <v>49735</v>
      </c>
      <c r="C125" s="9" t="str">
        <f t="shared" si="11"/>
        <v>Mar</v>
      </c>
      <c r="D125" s="9">
        <f t="shared" si="12"/>
        <v>2036</v>
      </c>
      <c r="E125" s="9" t="str">
        <f>INDEX(Seasons,MATCH($C125,'General Inputs'!$B$20:$B$31,0),1)</f>
        <v>Shoulder</v>
      </c>
      <c r="F125" s="22">
        <f>'Elec Futures'!H125</f>
        <v>0</v>
      </c>
      <c r="G125" s="22">
        <f>'Elec Futures'!I125</f>
        <v>0</v>
      </c>
      <c r="H125" s="131"/>
      <c r="I125" s="22">
        <f>IFERROR('NG Futures'!$I131*HR_Low_Plant/1000,"Data Missing")</f>
        <v>48.885758205872321</v>
      </c>
      <c r="J125" s="22">
        <f>IFERROR('NG Futures'!$I131*HR_High_Plant/1000,"Data Missing")</f>
        <v>33.666021698259847</v>
      </c>
      <c r="K125" s="131"/>
      <c r="L125" s="22">
        <f ca="1">IFERROR(INDEX(Spark_Spread_On,MATCH($C125,Adjustments!$H$3:$H$14,0),1)+IF(INDEX(Spark_Spread_On,MATCH($C125,Adjustments!$H$3:$H$14,0),1)&gt;1,INDEX(Spark_Spread_On,MATCH($C125,Adjustments!$H$3:$H$14,0),1)*(Inflation_Rate+BLS_Esc_Rate),-INDEX(Spark_Spread_On,MATCH($C125,Adjustments!$H$3:$H$14,0),1)*(Inflation_Rate+BLS_Esc_Rate)),"Data Missing")</f>
        <v>16.528539996336317</v>
      </c>
      <c r="M125" s="22">
        <f ca="1">IFERROR(INDEX(Spark_Spread_Off,MATCH($C125,Adjustments!$H$3:$H$14,0),1)+IF(INDEX(Spark_Spread_Off,MATCH($C125,Adjustments!$H$3:$H$14,0),1)&gt;1,INDEX(Spark_Spread_Off,MATCH($C125,Adjustments!$H$3:$H$14,0),1)*(Inflation_Rate+BLS_Esc_Rate),-INDEX(Spark_Spread_Off,MATCH($C125,Adjustments!$H$3:$H$14,0),1)*(Inflation_Rate+BLS_Esc_Rate)),"Data Missing")</f>
        <v>18.910646100880385</v>
      </c>
      <c r="N125" s="131"/>
      <c r="O125" s="15">
        <f t="shared" ca="1" si="9"/>
        <v>65.414298202208641</v>
      </c>
      <c r="P125" s="15">
        <f t="shared" ca="1" si="8"/>
        <v>52.576667799140232</v>
      </c>
    </row>
    <row r="126" spans="1:16" x14ac:dyDescent="0.25">
      <c r="A126" s="3">
        <v>124</v>
      </c>
      <c r="B126" s="19">
        <f t="shared" si="10"/>
        <v>49766</v>
      </c>
      <c r="C126" s="9" t="str">
        <f t="shared" si="11"/>
        <v>Apr</v>
      </c>
      <c r="D126" s="9">
        <f t="shared" si="12"/>
        <v>2036</v>
      </c>
      <c r="E126" s="9" t="str">
        <f>INDEX(Seasons,MATCH($C126,'General Inputs'!$B$20:$B$31,0),1)</f>
        <v>Shoulder</v>
      </c>
      <c r="F126" s="22">
        <f>'Elec Futures'!H126</f>
        <v>0</v>
      </c>
      <c r="G126" s="22">
        <f>'Elec Futures'!I126</f>
        <v>0</v>
      </c>
      <c r="H126" s="131"/>
      <c r="I126" s="22">
        <f>IFERROR('NG Futures'!$I132*HR_Low_Plant/1000,"Data Missing")</f>
        <v>40.270625534080892</v>
      </c>
      <c r="J126" s="22">
        <f>IFERROR('NG Futures'!$I132*HR_High_Plant/1000,"Data Missing")</f>
        <v>27.733061791194785</v>
      </c>
      <c r="K126" s="131"/>
      <c r="L126" s="22">
        <f ca="1">IFERROR(INDEX(Spark_Spread_On,MATCH($C126,Adjustments!$H$3:$H$14,0),1)+IF(INDEX(Spark_Spread_On,MATCH($C126,Adjustments!$H$3:$H$14,0),1)&gt;1,INDEX(Spark_Spread_On,MATCH($C126,Adjustments!$H$3:$H$14,0),1)*(Inflation_Rate+BLS_Esc_Rate),-INDEX(Spark_Spread_On,MATCH($C126,Adjustments!$H$3:$H$14,0),1)*(Inflation_Rate+BLS_Esc_Rate)),"Data Missing")</f>
        <v>22.38036101423787</v>
      </c>
      <c r="M126" s="22">
        <f ca="1">IFERROR(INDEX(Spark_Spread_Off,MATCH($C126,Adjustments!$H$3:$H$14,0),1)+IF(INDEX(Spark_Spread_Off,MATCH($C126,Adjustments!$H$3:$H$14,0),1)&gt;1,INDEX(Spark_Spread_Off,MATCH($C126,Adjustments!$H$3:$H$14,0),1)*(Inflation_Rate+BLS_Esc_Rate),-INDEX(Spark_Spread_Off,MATCH($C126,Adjustments!$H$3:$H$14,0),1)*(Inflation_Rate+BLS_Esc_Rate)),"Data Missing")</f>
        <v>18.258127438419208</v>
      </c>
      <c r="N126" s="131"/>
      <c r="O126" s="15">
        <f t="shared" ca="1" si="9"/>
        <v>62.650986548318762</v>
      </c>
      <c r="P126" s="15">
        <f t="shared" ca="1" si="8"/>
        <v>45.991189229613994</v>
      </c>
    </row>
    <row r="127" spans="1:16" x14ac:dyDescent="0.25">
      <c r="A127" s="3">
        <v>125</v>
      </c>
      <c r="B127" s="19">
        <f t="shared" si="10"/>
        <v>49796</v>
      </c>
      <c r="C127" s="9" t="str">
        <f t="shared" si="11"/>
        <v>May</v>
      </c>
      <c r="D127" s="9">
        <f t="shared" si="12"/>
        <v>2036</v>
      </c>
      <c r="E127" s="9" t="str">
        <f>INDEX(Seasons,MATCH($C127,'General Inputs'!$B$20:$B$31,0),1)</f>
        <v>Summer</v>
      </c>
      <c r="F127" s="22">
        <f>'Elec Futures'!H127</f>
        <v>0</v>
      </c>
      <c r="G127" s="22">
        <f>'Elec Futures'!I127</f>
        <v>0</v>
      </c>
      <c r="H127" s="131"/>
      <c r="I127" s="22">
        <f>IFERROR('NG Futures'!$I133*HR_Low_Plant/1000,"Data Missing")</f>
        <v>35.627333626976778</v>
      </c>
      <c r="J127" s="22">
        <f>IFERROR('NG Futures'!$I133*HR_High_Plant/1000,"Data Missing")</f>
        <v>24.535378624706762</v>
      </c>
      <c r="K127" s="131"/>
      <c r="L127" s="22">
        <f ca="1">IFERROR(INDEX(Spark_Spread_On,MATCH($C127,Adjustments!$H$3:$H$14,0),1)+IF(INDEX(Spark_Spread_On,MATCH($C127,Adjustments!$H$3:$H$14,0),1)&gt;1,INDEX(Spark_Spread_On,MATCH($C127,Adjustments!$H$3:$H$14,0),1)*(Inflation_Rate+BLS_Esc_Rate),-INDEX(Spark_Spread_On,MATCH($C127,Adjustments!$H$3:$H$14,0),1)*(Inflation_Rate+BLS_Esc_Rate)),"Data Missing")</f>
        <v>26.985629754035614</v>
      </c>
      <c r="M127" s="22">
        <f ca="1">IFERROR(INDEX(Spark_Spread_Off,MATCH($C127,Adjustments!$H$3:$H$14,0),1)+IF(INDEX(Spark_Spread_Off,MATCH($C127,Adjustments!$H$3:$H$14,0),1)&gt;1,INDEX(Spark_Spread_Off,MATCH($C127,Adjustments!$H$3:$H$14,0),1)*(Inflation_Rate+BLS_Esc_Rate),-INDEX(Spark_Spread_Off,MATCH($C127,Adjustments!$H$3:$H$14,0),1)*(Inflation_Rate+BLS_Esc_Rate)),"Data Missing")</f>
        <v>16.780298980176973</v>
      </c>
      <c r="N127" s="131"/>
      <c r="O127" s="15">
        <f t="shared" ca="1" si="9"/>
        <v>62.612963381012392</v>
      </c>
      <c r="P127" s="15">
        <f t="shared" ref="P127:P134" ca="1" si="13">IFERROR(J127+M127, "Data Missing")</f>
        <v>41.315677604883732</v>
      </c>
    </row>
    <row r="128" spans="1:16" x14ac:dyDescent="0.25">
      <c r="A128" s="3">
        <v>126</v>
      </c>
      <c r="B128" s="19">
        <f t="shared" si="10"/>
        <v>49827</v>
      </c>
      <c r="C128" s="9" t="str">
        <f t="shared" si="11"/>
        <v>Jun</v>
      </c>
      <c r="D128" s="9">
        <f t="shared" si="12"/>
        <v>2036</v>
      </c>
      <c r="E128" s="9" t="str">
        <f>INDEX(Seasons,MATCH($C128,'General Inputs'!$B$20:$B$31,0),1)</f>
        <v>Summer</v>
      </c>
      <c r="F128" s="22">
        <f>'Elec Futures'!H128</f>
        <v>0</v>
      </c>
      <c r="G128" s="22">
        <f>'Elec Futures'!I128</f>
        <v>0</v>
      </c>
      <c r="H128" s="131"/>
      <c r="I128" s="22">
        <f>IFERROR('NG Futures'!$I134*HR_Low_Plant/1000,"Data Missing")</f>
        <v>35.732053452158148</v>
      </c>
      <c r="J128" s="22">
        <f>IFERROR('NG Futures'!$I134*HR_High_Plant/1000,"Data Missing")</f>
        <v>24.60749574094228</v>
      </c>
      <c r="K128" s="131"/>
      <c r="L128" s="22">
        <f ca="1">IFERROR(INDEX(Spark_Spread_On,MATCH($C128,Adjustments!$H$3:$H$14,0),1)+IF(INDEX(Spark_Spread_On,MATCH($C128,Adjustments!$H$3:$H$14,0),1)&gt;1,INDEX(Spark_Spread_On,MATCH($C128,Adjustments!$H$3:$H$14,0),1)*(Inflation_Rate+BLS_Esc_Rate),-INDEX(Spark_Spread_On,MATCH($C128,Adjustments!$H$3:$H$14,0),1)*(Inflation_Rate+BLS_Esc_Rate)),"Data Missing")</f>
        <v>32.794481155748485</v>
      </c>
      <c r="M128" s="22">
        <f ca="1">IFERROR(INDEX(Spark_Spread_Off,MATCH($C128,Adjustments!$H$3:$H$14,0),1)+IF(INDEX(Spark_Spread_Off,MATCH($C128,Adjustments!$H$3:$H$14,0),1)&gt;1,INDEX(Spark_Spread_Off,MATCH($C128,Adjustments!$H$3:$H$14,0),1)*(Inflation_Rate+BLS_Esc_Rate),-INDEX(Spark_Spread_Off,MATCH($C128,Adjustments!$H$3:$H$14,0),1)*(Inflation_Rate+BLS_Esc_Rate)),"Data Missing")</f>
        <v>16.358897919725173</v>
      </c>
      <c r="N128" s="131"/>
      <c r="O128" s="15">
        <f ca="1">IFERROR(I128+L128, "Data Missing")</f>
        <v>68.526534607906626</v>
      </c>
      <c r="P128" s="15">
        <f t="shared" ca="1" si="13"/>
        <v>40.96639366066745</v>
      </c>
    </row>
    <row r="129" spans="1:16" x14ac:dyDescent="0.25">
      <c r="A129" s="3">
        <v>127</v>
      </c>
      <c r="B129" s="19">
        <f t="shared" si="10"/>
        <v>49857</v>
      </c>
      <c r="C129" s="9" t="str">
        <f t="shared" si="11"/>
        <v>Jul</v>
      </c>
      <c r="D129" s="9">
        <f t="shared" si="12"/>
        <v>2036</v>
      </c>
      <c r="E129" s="9" t="str">
        <f>INDEX(Seasons,MATCH($C129,'General Inputs'!$B$20:$B$31,0),1)</f>
        <v>Summer</v>
      </c>
      <c r="F129" s="22">
        <f>'Elec Futures'!H129</f>
        <v>0</v>
      </c>
      <c r="G129" s="22">
        <f>'Elec Futures'!I129</f>
        <v>0</v>
      </c>
      <c r="H129" s="131"/>
      <c r="I129" s="22">
        <f>IFERROR('NG Futures'!$I135*HR_Low_Plant/1000,"Data Missing")</f>
        <v>37.157777404458116</v>
      </c>
      <c r="J129" s="22">
        <f>IFERROR('NG Futures'!$I135*HR_High_Plant/1000,"Data Missing")</f>
        <v>25.589345164484481</v>
      </c>
      <c r="K129" s="131"/>
      <c r="L129" s="22">
        <f ca="1">IFERROR(INDEX(Spark_Spread_On,MATCH($C129,Adjustments!$H$3:$H$14,0),1)+IF(INDEX(Spark_Spread_On,MATCH($C129,Adjustments!$H$3:$H$14,0),1)&gt;1,INDEX(Spark_Spread_On,MATCH($C129,Adjustments!$H$3:$H$14,0),1)*(Inflation_Rate+BLS_Esc_Rate),-INDEX(Spark_Spread_On,MATCH($C129,Adjustments!$H$3:$H$14,0),1)*(Inflation_Rate+BLS_Esc_Rate)),"Data Missing")</f>
        <v>60.778479645687867</v>
      </c>
      <c r="M129" s="22">
        <f ca="1">IFERROR(INDEX(Spark_Spread_Off,MATCH($C129,Adjustments!$H$3:$H$14,0),1)+IF(INDEX(Spark_Spread_Off,MATCH($C129,Adjustments!$H$3:$H$14,0),1)&gt;1,INDEX(Spark_Spread_Off,MATCH($C129,Adjustments!$H$3:$H$14,0),1)*(Inflation_Rate+BLS_Esc_Rate),-INDEX(Spark_Spread_Off,MATCH($C129,Adjustments!$H$3:$H$14,0),1)*(Inflation_Rate+BLS_Esc_Rate)),"Data Missing")</f>
        <v>23.644134063075864</v>
      </c>
      <c r="N129" s="131"/>
      <c r="O129" s="15">
        <f t="shared" ref="O129:O191" ca="1" si="14">IFERROR(I129+L129, "Data Missing")</f>
        <v>97.936257050145983</v>
      </c>
      <c r="P129" s="15">
        <f t="shared" ca="1" si="13"/>
        <v>49.233479227560345</v>
      </c>
    </row>
    <row r="130" spans="1:16" x14ac:dyDescent="0.25">
      <c r="A130" s="3">
        <v>128</v>
      </c>
      <c r="B130" s="19">
        <f t="shared" si="10"/>
        <v>49888</v>
      </c>
      <c r="C130" s="9" t="str">
        <f t="shared" si="11"/>
        <v>Aug</v>
      </c>
      <c r="D130" s="9">
        <f t="shared" si="12"/>
        <v>2036</v>
      </c>
      <c r="E130" s="9" t="str">
        <f>INDEX(Seasons,MATCH($C130,'General Inputs'!$B$20:$B$31,0),1)</f>
        <v>Summer</v>
      </c>
      <c r="F130" s="22">
        <f>'Elec Futures'!H130</f>
        <v>0</v>
      </c>
      <c r="G130" s="22">
        <f>'Elec Futures'!I130</f>
        <v>0</v>
      </c>
      <c r="H130" s="131"/>
      <c r="I130" s="22">
        <f>IFERROR('NG Futures'!$I136*HR_Low_Plant/1000,"Data Missing")</f>
        <v>37.696416017795464</v>
      </c>
      <c r="J130" s="22">
        <f>IFERROR('NG Futures'!$I136*HR_High_Plant/1000,"Data Missing")</f>
        <v>25.960287948429226</v>
      </c>
      <c r="K130" s="131"/>
      <c r="L130" s="22">
        <f ca="1">IFERROR(INDEX(Spark_Spread_On,MATCH($C130,Adjustments!$H$3:$H$14,0),1)+IF(INDEX(Spark_Spread_On,MATCH($C130,Adjustments!$H$3:$H$14,0),1)&gt;1,INDEX(Spark_Spread_On,MATCH($C130,Adjustments!$H$3:$H$14,0),1)*(Inflation_Rate+BLS_Esc_Rate),-INDEX(Spark_Spread_On,MATCH($C130,Adjustments!$H$3:$H$14,0),1)*(Inflation_Rate+BLS_Esc_Rate)),"Data Missing")</f>
        <v>48.689674403055982</v>
      </c>
      <c r="M130" s="22">
        <f ca="1">IFERROR(INDEX(Spark_Spread_Off,MATCH($C130,Adjustments!$H$3:$H$14,0),1)+IF(INDEX(Spark_Spread_Off,MATCH($C130,Adjustments!$H$3:$H$14,0),1)&gt;1,INDEX(Spark_Spread_Off,MATCH($C130,Adjustments!$H$3:$H$14,0),1)*(Inflation_Rate+BLS_Esc_Rate),-INDEX(Spark_Spread_Off,MATCH($C130,Adjustments!$H$3:$H$14,0),1)*(Inflation_Rate+BLS_Esc_Rate)),"Data Missing")</f>
        <v>19.08142511960634</v>
      </c>
      <c r="N130" s="131"/>
      <c r="O130" s="15">
        <f t="shared" ca="1" si="14"/>
        <v>86.386090420851446</v>
      </c>
      <c r="P130" s="15">
        <f t="shared" ca="1" si="13"/>
        <v>45.041713068035563</v>
      </c>
    </row>
    <row r="131" spans="1:16" x14ac:dyDescent="0.25">
      <c r="A131" s="3">
        <v>129</v>
      </c>
      <c r="B131" s="19">
        <f t="shared" ref="B131:B194" si="15">DATE(Start_Year-1,A131,1)</f>
        <v>49919</v>
      </c>
      <c r="C131" s="9" t="str">
        <f t="shared" si="11"/>
        <v>Sep</v>
      </c>
      <c r="D131" s="9">
        <f t="shared" si="12"/>
        <v>2036</v>
      </c>
      <c r="E131" s="9" t="str">
        <f>INDEX(Seasons,MATCH($C131,'General Inputs'!$B$20:$B$31,0),1)</f>
        <v>Summer</v>
      </c>
      <c r="F131" s="22">
        <f>'Elec Futures'!H131</f>
        <v>0</v>
      </c>
      <c r="G131" s="22">
        <f>'Elec Futures'!I131</f>
        <v>0</v>
      </c>
      <c r="H131" s="131"/>
      <c r="I131" s="22">
        <f>IFERROR('NG Futures'!$I137*HR_Low_Plant/1000,"Data Missing")</f>
        <v>32.12991726041848</v>
      </c>
      <c r="J131" s="22">
        <f>IFERROR('NG Futures'!$I137*HR_High_Plant/1000,"Data Missing")</f>
        <v>22.126822439722467</v>
      </c>
      <c r="K131" s="131"/>
      <c r="L131" s="22">
        <f ca="1">IFERROR(INDEX(Spark_Spread_On,MATCH($C131,Adjustments!$H$3:$H$14,0),1)+IF(INDEX(Spark_Spread_On,MATCH($C131,Adjustments!$H$3:$H$14,0),1)&gt;1,INDEX(Spark_Spread_On,MATCH($C131,Adjustments!$H$3:$H$14,0),1)*(Inflation_Rate+BLS_Esc_Rate),-INDEX(Spark_Spread_On,MATCH($C131,Adjustments!$H$3:$H$14,0),1)*(Inflation_Rate+BLS_Esc_Rate)),"Data Missing")</f>
        <v>33.852941430998882</v>
      </c>
      <c r="M131" s="22">
        <f ca="1">IFERROR(INDEX(Spark_Spread_Off,MATCH($C131,Adjustments!$H$3:$H$14,0),1)+IF(INDEX(Spark_Spread_Off,MATCH($C131,Adjustments!$H$3:$H$14,0),1)&gt;1,INDEX(Spark_Spread_Off,MATCH($C131,Adjustments!$H$3:$H$14,0),1)*(Inflation_Rate+BLS_Esc_Rate),-INDEX(Spark_Spread_Off,MATCH($C131,Adjustments!$H$3:$H$14,0),1)*(Inflation_Rate+BLS_Esc_Rate)),"Data Missing")</f>
        <v>17.63955138931739</v>
      </c>
      <c r="N131" s="131"/>
      <c r="O131" s="15">
        <f t="shared" ca="1" si="14"/>
        <v>65.982858691417363</v>
      </c>
      <c r="P131" s="15">
        <f t="shared" ca="1" si="13"/>
        <v>39.766373829039857</v>
      </c>
    </row>
    <row r="132" spans="1:16" x14ac:dyDescent="0.25">
      <c r="A132" s="3">
        <v>130</v>
      </c>
      <c r="B132" s="19">
        <f t="shared" si="15"/>
        <v>49949</v>
      </c>
      <c r="C132" s="9" t="str">
        <f t="shared" ref="C132:C195" si="16">CHOOSE(MONTH(B132), "Jan", "Feb", "Mar", "Apr", "May", "Jun", "Jul", "Aug", "Sep", "Oct", "Nov", "Dec")</f>
        <v>Oct</v>
      </c>
      <c r="D132" s="9">
        <f t="shared" ref="D132:D195" si="17">YEAR(B132)</f>
        <v>2036</v>
      </c>
      <c r="E132" s="9" t="str">
        <f>INDEX(Seasons,MATCH($C132,'General Inputs'!$B$20:$B$31,0),1)</f>
        <v>Shoulder</v>
      </c>
      <c r="F132" s="22">
        <f>'Elec Futures'!H132</f>
        <v>0</v>
      </c>
      <c r="G132" s="22">
        <f>'Elec Futures'!I132</f>
        <v>0</v>
      </c>
      <c r="H132" s="131"/>
      <c r="I132" s="22">
        <f>IFERROR('NG Futures'!$I138*HR_Low_Plant/1000,"Data Missing")</f>
        <v>32.70395023065646</v>
      </c>
      <c r="J132" s="22">
        <f>IFERROR('NG Futures'!$I138*HR_High_Plant/1000,"Data Missing")</f>
        <v>22.522140158845556</v>
      </c>
      <c r="K132" s="131"/>
      <c r="L132" s="22">
        <f ca="1">IFERROR(INDEX(Spark_Spread_On,MATCH($C132,Adjustments!$H$3:$H$14,0),1)+IF(INDEX(Spark_Spread_On,MATCH($C132,Adjustments!$H$3:$H$14,0),1)&gt;1,INDEX(Spark_Spread_On,MATCH($C132,Adjustments!$H$3:$H$14,0),1)*(Inflation_Rate+BLS_Esc_Rate),-INDEX(Spark_Spread_On,MATCH($C132,Adjustments!$H$3:$H$14,0),1)*(Inflation_Rate+BLS_Esc_Rate)),"Data Missing")</f>
        <v>29.40002941858754</v>
      </c>
      <c r="M132" s="22">
        <f ca="1">IFERROR(INDEX(Spark_Spread_Off,MATCH($C132,Adjustments!$H$3:$H$14,0),1)+IF(INDEX(Spark_Spread_Off,MATCH($C132,Adjustments!$H$3:$H$14,0),1)&gt;1,INDEX(Spark_Spread_Off,MATCH($C132,Adjustments!$H$3:$H$14,0),1)*(Inflation_Rate+BLS_Esc_Rate),-INDEX(Spark_Spread_Off,MATCH($C132,Adjustments!$H$3:$H$14,0),1)*(Inflation_Rate+BLS_Esc_Rate)),"Data Missing")</f>
        <v>20.150009298264372</v>
      </c>
      <c r="N132" s="131"/>
      <c r="O132" s="15">
        <f t="shared" ca="1" si="14"/>
        <v>62.103979649243996</v>
      </c>
      <c r="P132" s="15">
        <f t="shared" ca="1" si="13"/>
        <v>42.672149457109924</v>
      </c>
    </row>
    <row r="133" spans="1:16" x14ac:dyDescent="0.25">
      <c r="A133" s="3">
        <v>131</v>
      </c>
      <c r="B133" s="19">
        <f t="shared" si="15"/>
        <v>49980</v>
      </c>
      <c r="C133" s="9" t="str">
        <f t="shared" si="16"/>
        <v>Nov</v>
      </c>
      <c r="D133" s="9">
        <f t="shared" si="17"/>
        <v>2036</v>
      </c>
      <c r="E133" s="9" t="str">
        <f>INDEX(Seasons,MATCH($C133,'General Inputs'!$B$20:$B$31,0),1)</f>
        <v>Shoulder</v>
      </c>
      <c r="F133" s="22">
        <f>'Elec Futures'!H133</f>
        <v>0</v>
      </c>
      <c r="G133" s="22">
        <f>'Elec Futures'!I133</f>
        <v>0</v>
      </c>
      <c r="H133" s="131"/>
      <c r="I133" s="22">
        <f>IFERROR('NG Futures'!$I139*HR_Low_Plant/1000,"Data Missing")</f>
        <v>42.742968929291735</v>
      </c>
      <c r="J133" s="22">
        <f>IFERROR('NG Futures'!$I139*HR_High_Plant/1000,"Data Missing")</f>
        <v>29.435683770344511</v>
      </c>
      <c r="K133" s="131"/>
      <c r="L133" s="22">
        <f ca="1">IFERROR(INDEX(Spark_Spread_On,MATCH($C133,Adjustments!$H$3:$H$14,0),1)+IF(INDEX(Spark_Spread_On,MATCH($C133,Adjustments!$H$3:$H$14,0),1)&gt;1,INDEX(Spark_Spread_On,MATCH($C133,Adjustments!$H$3:$H$14,0),1)*(Inflation_Rate+BLS_Esc_Rate),-INDEX(Spark_Spread_On,MATCH($C133,Adjustments!$H$3:$H$14,0),1)*(Inflation_Rate+BLS_Esc_Rate)),"Data Missing")</f>
        <v>22.485829134622783</v>
      </c>
      <c r="M133" s="22">
        <f ca="1">IFERROR(INDEX(Spark_Spread_Off,MATCH($C133,Adjustments!$H$3:$H$14,0),1)+IF(INDEX(Spark_Spread_Off,MATCH($C133,Adjustments!$H$3:$H$14,0),1)&gt;1,INDEX(Spark_Spread_Off,MATCH($C133,Adjustments!$H$3:$H$14,0),1)*(Inflation_Rate+BLS_Esc_Rate),-INDEX(Spark_Spread_Off,MATCH($C133,Adjustments!$H$3:$H$14,0),1)*(Inflation_Rate+BLS_Esc_Rate)),"Data Missing")</f>
        <v>20.092402274981513</v>
      </c>
      <c r="N133" s="131"/>
      <c r="O133" s="15">
        <f t="shared" ca="1" si="14"/>
        <v>65.228798063914525</v>
      </c>
      <c r="P133" s="15">
        <f t="shared" ca="1" si="13"/>
        <v>49.52808604532602</v>
      </c>
    </row>
    <row r="134" spans="1:16" x14ac:dyDescent="0.25">
      <c r="A134" s="3">
        <v>132</v>
      </c>
      <c r="B134" s="19">
        <f t="shared" si="15"/>
        <v>50010</v>
      </c>
      <c r="C134" s="9" t="str">
        <f t="shared" si="16"/>
        <v>Dec</v>
      </c>
      <c r="D134" s="9">
        <f t="shared" si="17"/>
        <v>2036</v>
      </c>
      <c r="E134" s="9" t="str">
        <f>INDEX(Seasons,MATCH($C134,'General Inputs'!$B$20:$B$31,0),1)</f>
        <v>Winter</v>
      </c>
      <c r="F134" s="22">
        <f>'Elec Futures'!H134</f>
        <v>0</v>
      </c>
      <c r="G134" s="22">
        <f>'Elec Futures'!I134</f>
        <v>0</v>
      </c>
      <c r="H134" s="131"/>
      <c r="I134" s="22">
        <f>IFERROR('NG Futures'!$I140*HR_Low_Plant/1000,"Data Missing")</f>
        <v>70.047165366366627</v>
      </c>
      <c r="J134" s="22">
        <f>IFERROR('NG Futures'!$I140*HR_High_Plant/1000,"Data Missing")</f>
        <v>48.239190219666447</v>
      </c>
      <c r="K134" s="131"/>
      <c r="L134" s="22">
        <f ca="1">IFERROR(INDEX(Spark_Spread_On,MATCH($C134,Adjustments!$H$3:$H$14,0),1)+IF(INDEX(Spark_Spread_On,MATCH($C134,Adjustments!$H$3:$H$14,0),1)&gt;1,INDEX(Spark_Spread_On,MATCH($C134,Adjustments!$H$3:$H$14,0),1)*(Inflation_Rate+BLS_Esc_Rate),-INDEX(Spark_Spread_On,MATCH($C134,Adjustments!$H$3:$H$14,0),1)*(Inflation_Rate+BLS_Esc_Rate)),"Data Missing")</f>
        <v>11.430346668590539</v>
      </c>
      <c r="M134" s="22">
        <f ca="1">IFERROR(INDEX(Spark_Spread_Off,MATCH($C134,Adjustments!$H$3:$H$14,0),1)+IF(INDEX(Spark_Spread_Off,MATCH($C134,Adjustments!$H$3:$H$14,0),1)&gt;1,INDEX(Spark_Spread_Off,MATCH($C134,Adjustments!$H$3:$H$14,0),1)*(Inflation_Rate+BLS_Esc_Rate),-INDEX(Spark_Spread_Off,MATCH($C134,Adjustments!$H$3:$H$14,0),1)*(Inflation_Rate+BLS_Esc_Rate)),"Data Missing")</f>
        <v>16.391451942721986</v>
      </c>
      <c r="N134" s="131"/>
      <c r="O134" s="15">
        <f t="shared" ca="1" si="14"/>
        <v>81.477512034957172</v>
      </c>
      <c r="P134" s="15">
        <f t="shared" ca="1" si="13"/>
        <v>64.630642162388426</v>
      </c>
    </row>
    <row r="135" spans="1:16" x14ac:dyDescent="0.25">
      <c r="A135" s="3">
        <v>133</v>
      </c>
      <c r="B135" s="19">
        <f t="shared" si="15"/>
        <v>50041</v>
      </c>
      <c r="C135" s="9" t="str">
        <f t="shared" si="16"/>
        <v>Jan</v>
      </c>
      <c r="D135" s="9">
        <f t="shared" si="17"/>
        <v>2037</v>
      </c>
      <c r="E135" s="9" t="str">
        <f>INDEX(Seasons,MATCH($C135,'General Inputs'!$B$20:$B$31,0),1)</f>
        <v>Winter</v>
      </c>
      <c r="F135" s="22">
        <f>'Elec Futures'!H135</f>
        <v>0</v>
      </c>
      <c r="G135" s="22">
        <f>'Elec Futures'!I135</f>
        <v>0</v>
      </c>
      <c r="H135" s="131"/>
      <c r="I135" s="22">
        <f>IFERROR('NG Futures'!$I141*HR_Low_Plant/1000,"Data Missing")</f>
        <v>105.10489844554475</v>
      </c>
      <c r="J135" s="22">
        <f>IFERROR('NG Futures'!$I141*HR_High_Plant/1000,"Data Missing")</f>
        <v>72.382303589515672</v>
      </c>
      <c r="K135" s="131"/>
      <c r="L135" s="22">
        <f ca="1">IFERROR(INDEX(Spark_Spread_On,MATCH($C135,Adjustments!$H$3:$H$14,0),1)+IF(INDEX(Spark_Spread_On,MATCH($C135,Adjustments!$H$3:$H$14,0),1)&gt;1,INDEX(Spark_Spread_On,MATCH($C135,Adjustments!$H$3:$H$14,0),1)*(Inflation_Rate+BLS_Esc_Rate),-INDEX(Spark_Spread_On,MATCH($C135,Adjustments!$H$3:$H$14,0),1)*(Inflation_Rate+BLS_Esc_Rate)),"Data Missing")</f>
        <v>5.8685378940686794</v>
      </c>
      <c r="M135" s="22">
        <f ca="1">IFERROR(INDEX(Spark_Spread_Off,MATCH($C135,Adjustments!$H$3:$H$14,0),1)+IF(INDEX(Spark_Spread_Off,MATCH($C135,Adjustments!$H$3:$H$14,0),1)&gt;1,INDEX(Spark_Spread_Off,MATCH($C135,Adjustments!$H$3:$H$14,0),1)*(Inflation_Rate+BLS_Esc_Rate),-INDEX(Spark_Spread_Off,MATCH($C135,Adjustments!$H$3:$H$14,0),1)*(Inflation_Rate+BLS_Esc_Rate)),"Data Missing")</f>
        <v>16.761915371452087</v>
      </c>
      <c r="N135" s="131"/>
      <c r="O135" s="24">
        <f t="shared" ca="1" si="14"/>
        <v>110.97343633961343</v>
      </c>
      <c r="P135" s="24">
        <f t="shared" ref="P135:P198" ca="1" si="18">IFERROR(J135+M135,"Data Missing")</f>
        <v>89.144218960967763</v>
      </c>
    </row>
    <row r="136" spans="1:16" x14ac:dyDescent="0.25">
      <c r="A136" s="3">
        <v>134</v>
      </c>
      <c r="B136" s="19">
        <f t="shared" si="15"/>
        <v>50072</v>
      </c>
      <c r="C136" s="9" t="str">
        <f t="shared" si="16"/>
        <v>Feb</v>
      </c>
      <c r="D136" s="9">
        <f t="shared" si="17"/>
        <v>2037</v>
      </c>
      <c r="E136" s="9" t="str">
        <f>INDEX(Seasons,MATCH($C136,'General Inputs'!$B$20:$B$31,0),1)</f>
        <v>Winter</v>
      </c>
      <c r="F136" s="22">
        <f>'Elec Futures'!H136</f>
        <v>0</v>
      </c>
      <c r="G136" s="22">
        <f>'Elec Futures'!I136</f>
        <v>0</v>
      </c>
      <c r="H136" s="131"/>
      <c r="I136" s="22">
        <f>IFERROR('NG Futures'!$I142*HR_Low_Plant/1000,"Data Missing")</f>
        <v>92.582466877500849</v>
      </c>
      <c r="J136" s="22">
        <f>IFERROR('NG Futures'!$I142*HR_High_Plant/1000,"Data Missing")</f>
        <v>63.758514814278918</v>
      </c>
      <c r="K136" s="131"/>
      <c r="L136" s="22">
        <f ca="1">IFERROR(INDEX(Spark_Spread_On,MATCH($C136,Adjustments!$H$3:$H$14,0),1)+IF(INDEX(Spark_Spread_On,MATCH($C136,Adjustments!$H$3:$H$14,0),1)&gt;1,INDEX(Spark_Spread_On,MATCH($C136,Adjustments!$H$3:$H$14,0),1)*(Inflation_Rate+BLS_Esc_Rate),-INDEX(Spark_Spread_On,MATCH($C136,Adjustments!$H$3:$H$14,0),1)*(Inflation_Rate+BLS_Esc_Rate)),"Data Missing")</f>
        <v>5.7233949711767895</v>
      </c>
      <c r="M136" s="22">
        <f ca="1">IFERROR(INDEX(Spark_Spread_Off,MATCH($C136,Adjustments!$H$3:$H$14,0),1)+IF(INDEX(Spark_Spread_Off,MATCH($C136,Adjustments!$H$3:$H$14,0),1)&gt;1,INDEX(Spark_Spread_Off,MATCH($C136,Adjustments!$H$3:$H$14,0),1)*(Inflation_Rate+BLS_Esc_Rate),-INDEX(Spark_Spread_Off,MATCH($C136,Adjustments!$H$3:$H$14,0),1)*(Inflation_Rate+BLS_Esc_Rate)),"Data Missing")</f>
        <v>15.231728502085021</v>
      </c>
      <c r="N136" s="131"/>
      <c r="O136" s="24">
        <f t="shared" ca="1" si="14"/>
        <v>98.305861848677637</v>
      </c>
      <c r="P136" s="24">
        <f t="shared" ca="1" si="18"/>
        <v>78.990243316363944</v>
      </c>
    </row>
    <row r="137" spans="1:16" x14ac:dyDescent="0.25">
      <c r="A137" s="3">
        <v>135</v>
      </c>
      <c r="B137" s="19">
        <f t="shared" si="15"/>
        <v>50100</v>
      </c>
      <c r="C137" s="9" t="str">
        <f t="shared" si="16"/>
        <v>Mar</v>
      </c>
      <c r="D137" s="9">
        <f t="shared" si="17"/>
        <v>2037</v>
      </c>
      <c r="E137" s="9" t="str">
        <f>INDEX(Seasons,MATCH($C137,'General Inputs'!$B$20:$B$31,0),1)</f>
        <v>Shoulder</v>
      </c>
      <c r="F137" s="22">
        <f>'Elec Futures'!H137</f>
        <v>0</v>
      </c>
      <c r="G137" s="22">
        <f>'Elec Futures'!I137</f>
        <v>0</v>
      </c>
      <c r="H137" s="131"/>
      <c r="I137" s="22">
        <f>IFERROR('NG Futures'!$I143*HR_Low_Plant/1000,"Data Missing")</f>
        <v>50.454288233129681</v>
      </c>
      <c r="J137" s="22">
        <f>IFERROR('NG Futures'!$I143*HR_High_Plant/1000,"Data Missing")</f>
        <v>34.746216991736453</v>
      </c>
      <c r="K137" s="131"/>
      <c r="L137" s="22">
        <f ca="1">IFERROR(INDEX(Spark_Spread_On,MATCH($C137,Adjustments!$H$3:$H$14,0),1)+IF(INDEX(Spark_Spread_On,MATCH($C137,Adjustments!$H$3:$H$14,0),1)&gt;1,INDEX(Spark_Spread_On,MATCH($C137,Adjustments!$H$3:$H$14,0),1)*(Inflation_Rate+BLS_Esc_Rate),-INDEX(Spark_Spread_On,MATCH($C137,Adjustments!$H$3:$H$14,0),1)*(Inflation_Rate+BLS_Esc_Rate)),"Data Missing")</f>
        <v>16.528539996336317</v>
      </c>
      <c r="M137" s="22">
        <f ca="1">IFERROR(INDEX(Spark_Spread_Off,MATCH($C137,Adjustments!$H$3:$H$14,0),1)+IF(INDEX(Spark_Spread_Off,MATCH($C137,Adjustments!$H$3:$H$14,0),1)&gt;1,INDEX(Spark_Spread_Off,MATCH($C137,Adjustments!$H$3:$H$14,0),1)*(Inflation_Rate+BLS_Esc_Rate),-INDEX(Spark_Spread_Off,MATCH($C137,Adjustments!$H$3:$H$14,0),1)*(Inflation_Rate+BLS_Esc_Rate)),"Data Missing")</f>
        <v>18.910646100880385</v>
      </c>
      <c r="N137" s="131"/>
      <c r="O137" s="24">
        <f t="shared" ca="1" si="14"/>
        <v>66.982828229465994</v>
      </c>
      <c r="P137" s="24">
        <f t="shared" ca="1" si="18"/>
        <v>53.656863092616838</v>
      </c>
    </row>
    <row r="138" spans="1:16" x14ac:dyDescent="0.25">
      <c r="A138" s="3">
        <v>136</v>
      </c>
      <c r="B138" s="19">
        <f t="shared" si="15"/>
        <v>50131</v>
      </c>
      <c r="C138" s="9" t="str">
        <f t="shared" si="16"/>
        <v>Apr</v>
      </c>
      <c r="D138" s="9">
        <f t="shared" si="17"/>
        <v>2037</v>
      </c>
      <c r="E138" s="9" t="str">
        <f>INDEX(Seasons,MATCH($C138,'General Inputs'!$B$20:$B$31,0),1)</f>
        <v>Shoulder</v>
      </c>
      <c r="F138" s="22">
        <f>'Elec Futures'!H138</f>
        <v>0</v>
      </c>
      <c r="G138" s="22">
        <f>'Elec Futures'!I138</f>
        <v>0</v>
      </c>
      <c r="H138" s="131"/>
      <c r="I138" s="22">
        <f>IFERROR('NG Futures'!$I144*HR_Low_Plant/1000,"Data Missing")</f>
        <v>41.418732371051419</v>
      </c>
      <c r="J138" s="22">
        <f>IFERROR('NG Futures'!$I144*HR_High_Plant/1000,"Data Missing")</f>
        <v>28.523725393518273</v>
      </c>
      <c r="K138" s="131"/>
      <c r="L138" s="22">
        <f ca="1">IFERROR(INDEX(Spark_Spread_On,MATCH($C138,Adjustments!$H$3:$H$14,0),1)+IF(INDEX(Spark_Spread_On,MATCH($C138,Adjustments!$H$3:$H$14,0),1)&gt;1,INDEX(Spark_Spread_On,MATCH($C138,Adjustments!$H$3:$H$14,0),1)*(Inflation_Rate+BLS_Esc_Rate),-INDEX(Spark_Spread_On,MATCH($C138,Adjustments!$H$3:$H$14,0),1)*(Inflation_Rate+BLS_Esc_Rate)),"Data Missing")</f>
        <v>22.38036101423787</v>
      </c>
      <c r="M138" s="22">
        <f ca="1">IFERROR(INDEX(Spark_Spread_Off,MATCH($C138,Adjustments!$H$3:$H$14,0),1)+IF(INDEX(Spark_Spread_Off,MATCH($C138,Adjustments!$H$3:$H$14,0),1)&gt;1,INDEX(Spark_Spread_Off,MATCH($C138,Adjustments!$H$3:$H$14,0),1)*(Inflation_Rate+BLS_Esc_Rate),-INDEX(Spark_Spread_Off,MATCH($C138,Adjustments!$H$3:$H$14,0),1)*(Inflation_Rate+BLS_Esc_Rate)),"Data Missing")</f>
        <v>18.258127438419208</v>
      </c>
      <c r="N138" s="131"/>
      <c r="O138" s="24">
        <f t="shared" ca="1" si="14"/>
        <v>63.799093385289289</v>
      </c>
      <c r="P138" s="24">
        <f t="shared" ca="1" si="18"/>
        <v>46.781852831937485</v>
      </c>
    </row>
    <row r="139" spans="1:16" x14ac:dyDescent="0.25">
      <c r="A139" s="3">
        <v>137</v>
      </c>
      <c r="B139" s="19">
        <f t="shared" si="15"/>
        <v>50161</v>
      </c>
      <c r="C139" s="9" t="str">
        <f t="shared" si="16"/>
        <v>May</v>
      </c>
      <c r="D139" s="9">
        <f t="shared" si="17"/>
        <v>2037</v>
      </c>
      <c r="E139" s="9" t="str">
        <f>INDEX(Seasons,MATCH($C139,'General Inputs'!$B$20:$B$31,0),1)</f>
        <v>Summer</v>
      </c>
      <c r="F139" s="22">
        <f>'Elec Futures'!H139</f>
        <v>0</v>
      </c>
      <c r="G139" s="22">
        <f>'Elec Futures'!I139</f>
        <v>0</v>
      </c>
      <c r="H139" s="131"/>
      <c r="I139" s="22">
        <f>IFERROR('NG Futures'!$I145*HR_Low_Plant/1000,"Data Missing")</f>
        <v>36.700590316541636</v>
      </c>
      <c r="J139" s="22">
        <f>IFERROR('NG Futures'!$I145*HR_High_Plant/1000,"Data Missing")</f>
        <v>25.274495380276541</v>
      </c>
      <c r="K139" s="131"/>
      <c r="L139" s="22">
        <f ca="1">IFERROR(INDEX(Spark_Spread_On,MATCH($C139,Adjustments!$H$3:$H$14,0),1)+IF(INDEX(Spark_Spread_On,MATCH($C139,Adjustments!$H$3:$H$14,0),1)&gt;1,INDEX(Spark_Spread_On,MATCH($C139,Adjustments!$H$3:$H$14,0),1)*(Inflation_Rate+BLS_Esc_Rate),-INDEX(Spark_Spread_On,MATCH($C139,Adjustments!$H$3:$H$14,0),1)*(Inflation_Rate+BLS_Esc_Rate)),"Data Missing")</f>
        <v>26.985629754035614</v>
      </c>
      <c r="M139" s="22">
        <f ca="1">IFERROR(INDEX(Spark_Spread_Off,MATCH($C139,Adjustments!$H$3:$H$14,0),1)+IF(INDEX(Spark_Spread_Off,MATCH($C139,Adjustments!$H$3:$H$14,0),1)&gt;1,INDEX(Spark_Spread_Off,MATCH($C139,Adjustments!$H$3:$H$14,0),1)*(Inflation_Rate+BLS_Esc_Rate),-INDEX(Spark_Spread_Off,MATCH($C139,Adjustments!$H$3:$H$14,0),1)*(Inflation_Rate+BLS_Esc_Rate)),"Data Missing")</f>
        <v>16.780298980176973</v>
      </c>
      <c r="N139" s="131"/>
      <c r="O139" s="24">
        <f t="shared" ca="1" si="14"/>
        <v>63.686220070577249</v>
      </c>
      <c r="P139" s="24">
        <f t="shared" ca="1" si="18"/>
        <v>42.054794360453513</v>
      </c>
    </row>
    <row r="140" spans="1:16" x14ac:dyDescent="0.25">
      <c r="A140" s="3">
        <v>138</v>
      </c>
      <c r="B140" s="19">
        <f t="shared" si="15"/>
        <v>50192</v>
      </c>
      <c r="C140" s="9" t="str">
        <f t="shared" si="16"/>
        <v>Jun</v>
      </c>
      <c r="D140" s="9">
        <f t="shared" si="17"/>
        <v>2037</v>
      </c>
      <c r="E140" s="9" t="str">
        <f>INDEX(Seasons,MATCH($C140,'General Inputs'!$B$20:$B$31,0),1)</f>
        <v>Summer</v>
      </c>
      <c r="F140" s="22">
        <f>'Elec Futures'!H140</f>
        <v>0</v>
      </c>
      <c r="G140" s="22">
        <f>'Elec Futures'!I140</f>
        <v>0</v>
      </c>
      <c r="H140" s="131"/>
      <c r="I140" s="22">
        <f>IFERROR('NG Futures'!$I146*HR_Low_Plant/1000,"Data Missing")</f>
        <v>37.017770094200678</v>
      </c>
      <c r="J140" s="22">
        <f>IFERROR('NG Futures'!$I146*HR_High_Plant/1000,"Data Missing")</f>
        <v>25.492926712198397</v>
      </c>
      <c r="K140" s="131"/>
      <c r="L140" s="22">
        <f ca="1">IFERROR(INDEX(Spark_Spread_On,MATCH($C140,Adjustments!$H$3:$H$14,0),1)+IF(INDEX(Spark_Spread_On,MATCH($C140,Adjustments!$H$3:$H$14,0),1)&gt;1,INDEX(Spark_Spread_On,MATCH($C140,Adjustments!$H$3:$H$14,0),1)*(Inflation_Rate+BLS_Esc_Rate),-INDEX(Spark_Spread_On,MATCH($C140,Adjustments!$H$3:$H$14,0),1)*(Inflation_Rate+BLS_Esc_Rate)),"Data Missing")</f>
        <v>32.794481155748485</v>
      </c>
      <c r="M140" s="22">
        <f ca="1">IFERROR(INDEX(Spark_Spread_Off,MATCH($C140,Adjustments!$H$3:$H$14,0),1)+IF(INDEX(Spark_Spread_Off,MATCH($C140,Adjustments!$H$3:$H$14,0),1)&gt;1,INDEX(Spark_Spread_Off,MATCH($C140,Adjustments!$H$3:$H$14,0),1)*(Inflation_Rate+BLS_Esc_Rate),-INDEX(Spark_Spread_Off,MATCH($C140,Adjustments!$H$3:$H$14,0),1)*(Inflation_Rate+BLS_Esc_Rate)),"Data Missing")</f>
        <v>16.358897919725173</v>
      </c>
      <c r="N140" s="131"/>
      <c r="O140" s="24">
        <f t="shared" ca="1" si="14"/>
        <v>69.812251249949156</v>
      </c>
      <c r="P140" s="24">
        <f t="shared" ca="1" si="18"/>
        <v>41.85182463192357</v>
      </c>
    </row>
    <row r="141" spans="1:16" x14ac:dyDescent="0.25">
      <c r="A141" s="3">
        <v>139</v>
      </c>
      <c r="B141" s="19">
        <f t="shared" si="15"/>
        <v>50222</v>
      </c>
      <c r="C141" s="9" t="str">
        <f t="shared" si="16"/>
        <v>Jul</v>
      </c>
      <c r="D141" s="9">
        <f t="shared" si="17"/>
        <v>2037</v>
      </c>
      <c r="E141" s="9" t="str">
        <f>INDEX(Seasons,MATCH($C141,'General Inputs'!$B$20:$B$31,0),1)</f>
        <v>Summer</v>
      </c>
      <c r="F141" s="22">
        <f>'Elec Futures'!H141</f>
        <v>0</v>
      </c>
      <c r="G141" s="22">
        <f>'Elec Futures'!I141</f>
        <v>0</v>
      </c>
      <c r="H141" s="131"/>
      <c r="I141" s="22">
        <f>IFERROR('NG Futures'!$I147*HR_Low_Plant/1000,"Data Missing")</f>
        <v>38.70636963829547</v>
      </c>
      <c r="J141" s="22">
        <f>IFERROR('NG Futures'!$I147*HR_High_Plant/1000,"Data Missing")</f>
        <v>26.655809952175193</v>
      </c>
      <c r="K141" s="131"/>
      <c r="L141" s="22">
        <f ca="1">IFERROR(INDEX(Spark_Spread_On,MATCH($C141,Adjustments!$H$3:$H$14,0),1)+IF(INDEX(Spark_Spread_On,MATCH($C141,Adjustments!$H$3:$H$14,0),1)&gt;1,INDEX(Spark_Spread_On,MATCH($C141,Adjustments!$H$3:$H$14,0),1)*(Inflation_Rate+BLS_Esc_Rate),-INDEX(Spark_Spread_On,MATCH($C141,Adjustments!$H$3:$H$14,0),1)*(Inflation_Rate+BLS_Esc_Rate)),"Data Missing")</f>
        <v>60.778479645687867</v>
      </c>
      <c r="M141" s="22">
        <f ca="1">IFERROR(INDEX(Spark_Spread_Off,MATCH($C141,Adjustments!$H$3:$H$14,0),1)+IF(INDEX(Spark_Spread_Off,MATCH($C141,Adjustments!$H$3:$H$14,0),1)&gt;1,INDEX(Spark_Spread_Off,MATCH($C141,Adjustments!$H$3:$H$14,0),1)*(Inflation_Rate+BLS_Esc_Rate),-INDEX(Spark_Spread_Off,MATCH($C141,Adjustments!$H$3:$H$14,0),1)*(Inflation_Rate+BLS_Esc_Rate)),"Data Missing")</f>
        <v>23.644134063075864</v>
      </c>
      <c r="N141" s="131"/>
      <c r="O141" s="24">
        <f t="shared" ca="1" si="14"/>
        <v>99.484849283983337</v>
      </c>
      <c r="P141" s="24">
        <f t="shared" ca="1" si="18"/>
        <v>50.299944015251057</v>
      </c>
    </row>
    <row r="142" spans="1:16" x14ac:dyDescent="0.25">
      <c r="A142" s="3">
        <v>140</v>
      </c>
      <c r="B142" s="19">
        <f t="shared" si="15"/>
        <v>50253</v>
      </c>
      <c r="C142" s="9" t="str">
        <f t="shared" si="16"/>
        <v>Aug</v>
      </c>
      <c r="D142" s="9">
        <f t="shared" si="17"/>
        <v>2037</v>
      </c>
      <c r="E142" s="9" t="str">
        <f>INDEX(Seasons,MATCH($C142,'General Inputs'!$B$20:$B$31,0),1)</f>
        <v>Summer</v>
      </c>
      <c r="F142" s="22">
        <f>'Elec Futures'!H142</f>
        <v>0</v>
      </c>
      <c r="G142" s="22">
        <f>'Elec Futures'!I142</f>
        <v>0</v>
      </c>
      <c r="H142" s="131"/>
      <c r="I142" s="22">
        <f>IFERROR('NG Futures'!$I148*HR_Low_Plant/1000,"Data Missing")</f>
        <v>39.309763170190571</v>
      </c>
      <c r="J142" s="22">
        <f>IFERROR('NG Futures'!$I148*HR_High_Plant/1000,"Data Missing")</f>
        <v>27.071347329172035</v>
      </c>
      <c r="K142" s="131"/>
      <c r="L142" s="22">
        <f ca="1">IFERROR(INDEX(Spark_Spread_On,MATCH($C142,Adjustments!$H$3:$H$14,0),1)+IF(INDEX(Spark_Spread_On,MATCH($C142,Adjustments!$H$3:$H$14,0),1)&gt;1,INDEX(Spark_Spread_On,MATCH($C142,Adjustments!$H$3:$H$14,0),1)*(Inflation_Rate+BLS_Esc_Rate),-INDEX(Spark_Spread_On,MATCH($C142,Adjustments!$H$3:$H$14,0),1)*(Inflation_Rate+BLS_Esc_Rate)),"Data Missing")</f>
        <v>48.689674403055982</v>
      </c>
      <c r="M142" s="22">
        <f ca="1">IFERROR(INDEX(Spark_Spread_Off,MATCH($C142,Adjustments!$H$3:$H$14,0),1)+IF(INDEX(Spark_Spread_Off,MATCH($C142,Adjustments!$H$3:$H$14,0),1)&gt;1,INDEX(Spark_Spread_Off,MATCH($C142,Adjustments!$H$3:$H$14,0),1)*(Inflation_Rate+BLS_Esc_Rate),-INDEX(Spark_Spread_Off,MATCH($C142,Adjustments!$H$3:$H$14,0),1)*(Inflation_Rate+BLS_Esc_Rate)),"Data Missing")</f>
        <v>19.08142511960634</v>
      </c>
      <c r="N142" s="131"/>
      <c r="O142" s="24">
        <f t="shared" ca="1" si="14"/>
        <v>87.999437573246553</v>
      </c>
      <c r="P142" s="24">
        <f t="shared" ca="1" si="18"/>
        <v>46.152772448778379</v>
      </c>
    </row>
    <row r="143" spans="1:16" x14ac:dyDescent="0.25">
      <c r="A143" s="3">
        <v>141</v>
      </c>
      <c r="B143" s="19">
        <f t="shared" si="15"/>
        <v>50284</v>
      </c>
      <c r="C143" s="9" t="str">
        <f t="shared" si="16"/>
        <v>Sep</v>
      </c>
      <c r="D143" s="9">
        <f t="shared" si="17"/>
        <v>2037</v>
      </c>
      <c r="E143" s="9" t="str">
        <f>INDEX(Seasons,MATCH($C143,'General Inputs'!$B$20:$B$31,0),1)</f>
        <v>Summer</v>
      </c>
      <c r="F143" s="22">
        <f>'Elec Futures'!H143</f>
        <v>0</v>
      </c>
      <c r="G143" s="22">
        <f>'Elec Futures'!I143</f>
        <v>0</v>
      </c>
      <c r="H143" s="131"/>
      <c r="I143" s="22">
        <f>IFERROR('NG Futures'!$I149*HR_Low_Plant/1000,"Data Missing")</f>
        <v>33.607847402557681</v>
      </c>
      <c r="J143" s="22">
        <f>IFERROR('NG Futures'!$I149*HR_High_Plant/1000,"Data Missing")</f>
        <v>23.144624557554682</v>
      </c>
      <c r="K143" s="131"/>
      <c r="L143" s="22">
        <f ca="1">IFERROR(INDEX(Spark_Spread_On,MATCH($C143,Adjustments!$H$3:$H$14,0),1)+IF(INDEX(Spark_Spread_On,MATCH($C143,Adjustments!$H$3:$H$14,0),1)&gt;1,INDEX(Spark_Spread_On,MATCH($C143,Adjustments!$H$3:$H$14,0),1)*(Inflation_Rate+BLS_Esc_Rate),-INDEX(Spark_Spread_On,MATCH($C143,Adjustments!$H$3:$H$14,0),1)*(Inflation_Rate+BLS_Esc_Rate)),"Data Missing")</f>
        <v>33.852941430998882</v>
      </c>
      <c r="M143" s="22">
        <f ca="1">IFERROR(INDEX(Spark_Spread_Off,MATCH($C143,Adjustments!$H$3:$H$14,0),1)+IF(INDEX(Spark_Spread_Off,MATCH($C143,Adjustments!$H$3:$H$14,0),1)&gt;1,INDEX(Spark_Spread_Off,MATCH($C143,Adjustments!$H$3:$H$14,0),1)*(Inflation_Rate+BLS_Esc_Rate),-INDEX(Spark_Spread_Off,MATCH($C143,Adjustments!$H$3:$H$14,0),1)*(Inflation_Rate+BLS_Esc_Rate)),"Data Missing")</f>
        <v>17.63955138931739</v>
      </c>
      <c r="N143" s="131"/>
      <c r="O143" s="24">
        <f t="shared" ca="1" si="14"/>
        <v>67.460788833556563</v>
      </c>
      <c r="P143" s="24">
        <f t="shared" ca="1" si="18"/>
        <v>40.784175946872068</v>
      </c>
    </row>
    <row r="144" spans="1:16" x14ac:dyDescent="0.25">
      <c r="A144" s="3">
        <v>142</v>
      </c>
      <c r="B144" s="19">
        <f t="shared" si="15"/>
        <v>50314</v>
      </c>
      <c r="C144" s="9" t="str">
        <f t="shared" si="16"/>
        <v>Oct</v>
      </c>
      <c r="D144" s="9">
        <f t="shared" si="17"/>
        <v>2037</v>
      </c>
      <c r="E144" s="9" t="str">
        <f>INDEX(Seasons,MATCH($C144,'General Inputs'!$B$20:$B$31,0),1)</f>
        <v>Shoulder</v>
      </c>
      <c r="F144" s="22">
        <f>'Elec Futures'!H144</f>
        <v>0</v>
      </c>
      <c r="G144" s="22">
        <f>'Elec Futures'!I144</f>
        <v>0</v>
      </c>
      <c r="H144" s="131"/>
      <c r="I144" s="22">
        <f>IFERROR('NG Futures'!$I150*HR_Low_Plant/1000,"Data Missing")</f>
        <v>34.240268184027741</v>
      </c>
      <c r="J144" s="22">
        <f>IFERROR('NG Futures'!$I150*HR_High_Plant/1000,"Data Missing")</f>
        <v>23.580152051303241</v>
      </c>
      <c r="K144" s="131"/>
      <c r="L144" s="22">
        <f ca="1">IFERROR(INDEX(Spark_Spread_On,MATCH($C144,Adjustments!$H$3:$H$14,0),1)+IF(INDEX(Spark_Spread_On,MATCH($C144,Adjustments!$H$3:$H$14,0),1)&gt;1,INDEX(Spark_Spread_On,MATCH($C144,Adjustments!$H$3:$H$14,0),1)*(Inflation_Rate+BLS_Esc_Rate),-INDEX(Spark_Spread_On,MATCH($C144,Adjustments!$H$3:$H$14,0),1)*(Inflation_Rate+BLS_Esc_Rate)),"Data Missing")</f>
        <v>29.40002941858754</v>
      </c>
      <c r="M144" s="22">
        <f ca="1">IFERROR(INDEX(Spark_Spread_Off,MATCH($C144,Adjustments!$H$3:$H$14,0),1)+IF(INDEX(Spark_Spread_Off,MATCH($C144,Adjustments!$H$3:$H$14,0),1)&gt;1,INDEX(Spark_Spread_Off,MATCH($C144,Adjustments!$H$3:$H$14,0),1)*(Inflation_Rate+BLS_Esc_Rate),-INDEX(Spark_Spread_Off,MATCH($C144,Adjustments!$H$3:$H$14,0),1)*(Inflation_Rate+BLS_Esc_Rate)),"Data Missing")</f>
        <v>20.150009298264372</v>
      </c>
      <c r="N144" s="131"/>
      <c r="O144" s="24">
        <f t="shared" ca="1" si="14"/>
        <v>63.640297602615277</v>
      </c>
      <c r="P144" s="24">
        <f t="shared" ca="1" si="18"/>
        <v>43.730161349567609</v>
      </c>
    </row>
    <row r="145" spans="1:16" x14ac:dyDescent="0.25">
      <c r="A145" s="3">
        <v>143</v>
      </c>
      <c r="B145" s="19">
        <f t="shared" si="15"/>
        <v>50345</v>
      </c>
      <c r="C145" s="9" t="str">
        <f t="shared" si="16"/>
        <v>Nov</v>
      </c>
      <c r="D145" s="9">
        <f t="shared" si="17"/>
        <v>2037</v>
      </c>
      <c r="E145" s="9" t="str">
        <f>INDEX(Seasons,MATCH($C145,'General Inputs'!$B$20:$B$31,0),1)</f>
        <v>Shoulder</v>
      </c>
      <c r="F145" s="22">
        <f>'Elec Futures'!H145</f>
        <v>0</v>
      </c>
      <c r="G145" s="22">
        <f>'Elec Futures'!I145</f>
        <v>0</v>
      </c>
      <c r="H145" s="131"/>
      <c r="I145" s="22">
        <f>IFERROR('NG Futures'!$I151*HR_Low_Plant/1000,"Data Missing")</f>
        <v>44.677774970802574</v>
      </c>
      <c r="J145" s="22">
        <f>IFERROR('NG Futures'!$I151*HR_High_Plant/1000,"Data Missing")</f>
        <v>30.768121367018708</v>
      </c>
      <c r="K145" s="131"/>
      <c r="L145" s="22">
        <f ca="1">IFERROR(INDEX(Spark_Spread_On,MATCH($C145,Adjustments!$H$3:$H$14,0),1)+IF(INDEX(Spark_Spread_On,MATCH($C145,Adjustments!$H$3:$H$14,0),1)&gt;1,INDEX(Spark_Spread_On,MATCH($C145,Adjustments!$H$3:$H$14,0),1)*(Inflation_Rate+BLS_Esc_Rate),-INDEX(Spark_Spread_On,MATCH($C145,Adjustments!$H$3:$H$14,0),1)*(Inflation_Rate+BLS_Esc_Rate)),"Data Missing")</f>
        <v>22.485829134622783</v>
      </c>
      <c r="M145" s="22">
        <f ca="1">IFERROR(INDEX(Spark_Spread_Off,MATCH($C145,Adjustments!$H$3:$H$14,0),1)+IF(INDEX(Spark_Spread_Off,MATCH($C145,Adjustments!$H$3:$H$14,0),1)&gt;1,INDEX(Spark_Spread_Off,MATCH($C145,Adjustments!$H$3:$H$14,0),1)*(Inflation_Rate+BLS_Esc_Rate),-INDEX(Spark_Spread_Off,MATCH($C145,Adjustments!$H$3:$H$14,0),1)*(Inflation_Rate+BLS_Esc_Rate)),"Data Missing")</f>
        <v>20.092402274981513</v>
      </c>
      <c r="N145" s="131"/>
      <c r="O145" s="24">
        <f t="shared" ca="1" si="14"/>
        <v>67.16360410542535</v>
      </c>
      <c r="P145" s="24">
        <f t="shared" ca="1" si="18"/>
        <v>50.860523642000217</v>
      </c>
    </row>
    <row r="146" spans="1:16" x14ac:dyDescent="0.25">
      <c r="A146" s="3">
        <v>144</v>
      </c>
      <c r="B146" s="19">
        <f t="shared" si="15"/>
        <v>50375</v>
      </c>
      <c r="C146" s="9" t="str">
        <f t="shared" si="16"/>
        <v>Dec</v>
      </c>
      <c r="D146" s="9">
        <f t="shared" si="17"/>
        <v>2037</v>
      </c>
      <c r="E146" s="9" t="str">
        <f>INDEX(Seasons,MATCH($C146,'General Inputs'!$B$20:$B$31,0),1)</f>
        <v>Winter</v>
      </c>
      <c r="F146" s="22">
        <f>'Elec Futures'!H146</f>
        <v>0</v>
      </c>
      <c r="G146" s="22">
        <f>'Elec Futures'!I146</f>
        <v>0</v>
      </c>
      <c r="H146" s="131"/>
      <c r="I146" s="22">
        <f>IFERROR('NG Futures'!$I152*HR_Low_Plant/1000,"Data Missing")</f>
        <v>72.900668950805311</v>
      </c>
      <c r="J146" s="22">
        <f>IFERROR('NG Futures'!$I152*HR_High_Plant/1000,"Data Missing")</f>
        <v>50.20430474617563</v>
      </c>
      <c r="K146" s="131"/>
      <c r="L146" s="22">
        <f ca="1">IFERROR(INDEX(Spark_Spread_On,MATCH($C146,Adjustments!$H$3:$H$14,0),1)+IF(INDEX(Spark_Spread_On,MATCH($C146,Adjustments!$H$3:$H$14,0),1)&gt;1,INDEX(Spark_Spread_On,MATCH($C146,Adjustments!$H$3:$H$14,0),1)*(Inflation_Rate+BLS_Esc_Rate),-INDEX(Spark_Spread_On,MATCH($C146,Adjustments!$H$3:$H$14,0),1)*(Inflation_Rate+BLS_Esc_Rate)),"Data Missing")</f>
        <v>11.430346668590539</v>
      </c>
      <c r="M146" s="22">
        <f ca="1">IFERROR(INDEX(Spark_Spread_Off,MATCH($C146,Adjustments!$H$3:$H$14,0),1)+IF(INDEX(Spark_Spread_Off,MATCH($C146,Adjustments!$H$3:$H$14,0),1)&gt;1,INDEX(Spark_Spread_Off,MATCH($C146,Adjustments!$H$3:$H$14,0),1)*(Inflation_Rate+BLS_Esc_Rate),-INDEX(Spark_Spread_Off,MATCH($C146,Adjustments!$H$3:$H$14,0),1)*(Inflation_Rate+BLS_Esc_Rate)),"Data Missing")</f>
        <v>16.391451942721986</v>
      </c>
      <c r="N146" s="131"/>
      <c r="O146" s="24">
        <f t="shared" ca="1" si="14"/>
        <v>84.331015619395856</v>
      </c>
      <c r="P146" s="24">
        <f t="shared" ca="1" si="18"/>
        <v>66.595756688897609</v>
      </c>
    </row>
    <row r="147" spans="1:16" x14ac:dyDescent="0.25">
      <c r="A147" s="3">
        <v>145</v>
      </c>
      <c r="B147" s="19">
        <f t="shared" si="15"/>
        <v>50406</v>
      </c>
      <c r="C147" s="9" t="str">
        <f t="shared" si="16"/>
        <v>Jan</v>
      </c>
      <c r="D147" s="9">
        <f t="shared" si="17"/>
        <v>2038</v>
      </c>
      <c r="E147" s="9" t="str">
        <f>INDEX(Seasons,MATCH($C147,'General Inputs'!$B$20:$B$31,0),1)</f>
        <v>Winter</v>
      </c>
      <c r="F147" s="22">
        <f>'Elec Futures'!H147</f>
        <v>0</v>
      </c>
      <c r="G147" s="22">
        <f>'Elec Futures'!I147</f>
        <v>0</v>
      </c>
      <c r="H147" s="131"/>
      <c r="I147" s="22">
        <f>IFERROR('NG Futures'!$I153*HR_Low_Plant/1000,"Data Missing")</f>
        <v>102.90147766205455</v>
      </c>
      <c r="J147" s="22">
        <f>IFERROR('NG Futures'!$I153*HR_High_Plant/1000,"Data Missing")</f>
        <v>70.864879811511003</v>
      </c>
      <c r="K147" s="131"/>
      <c r="L147" s="22">
        <f ca="1">IFERROR(INDEX(Spark_Spread_On,MATCH($C147,Adjustments!$H$3:$H$14,0),1)+IF(INDEX(Spark_Spread_On,MATCH($C147,Adjustments!$H$3:$H$14,0),1)&gt;1,INDEX(Spark_Spread_On,MATCH($C147,Adjustments!$H$3:$H$14,0),1)*(Inflation_Rate+BLS_Esc_Rate),-INDEX(Spark_Spread_On,MATCH($C147,Adjustments!$H$3:$H$14,0),1)*(Inflation_Rate+BLS_Esc_Rate)),"Data Missing")</f>
        <v>5.8685378940686794</v>
      </c>
      <c r="M147" s="22">
        <f ca="1">IFERROR(INDEX(Spark_Spread_Off,MATCH($C147,Adjustments!$H$3:$H$14,0),1)+IF(INDEX(Spark_Spread_Off,MATCH($C147,Adjustments!$H$3:$H$14,0),1)&gt;1,INDEX(Spark_Spread_Off,MATCH($C147,Adjustments!$H$3:$H$14,0),1)*(Inflation_Rate+BLS_Esc_Rate),-INDEX(Spark_Spread_Off,MATCH($C147,Adjustments!$H$3:$H$14,0),1)*(Inflation_Rate+BLS_Esc_Rate)),"Data Missing")</f>
        <v>16.761915371452087</v>
      </c>
      <c r="N147" s="131"/>
      <c r="O147" s="24">
        <f t="shared" ca="1" si="14"/>
        <v>108.77001555612323</v>
      </c>
      <c r="P147" s="24">
        <f t="shared" ca="1" si="18"/>
        <v>87.626795182963093</v>
      </c>
    </row>
    <row r="148" spans="1:16" x14ac:dyDescent="0.25">
      <c r="A148" s="3">
        <v>146</v>
      </c>
      <c r="B148" s="19">
        <f t="shared" si="15"/>
        <v>50437</v>
      </c>
      <c r="C148" s="9" t="str">
        <f t="shared" si="16"/>
        <v>Feb</v>
      </c>
      <c r="D148" s="9">
        <f t="shared" si="17"/>
        <v>2038</v>
      </c>
      <c r="E148" s="9" t="str">
        <f>INDEX(Seasons,MATCH($C148,'General Inputs'!$B$20:$B$31,0),1)</f>
        <v>Winter</v>
      </c>
      <c r="F148" s="22">
        <f>'Elec Futures'!H148</f>
        <v>0</v>
      </c>
      <c r="G148" s="22">
        <f>'Elec Futures'!I148</f>
        <v>0</v>
      </c>
      <c r="H148" s="131"/>
      <c r="I148" s="22">
        <f>IFERROR('NG Futures'!$I154*HR_Low_Plant/1000,"Data Missing")</f>
        <v>90.641566551048683</v>
      </c>
      <c r="J148" s="22">
        <f>IFERROR('NG Futures'!$I154*HR_High_Plant/1000,"Data Missing")</f>
        <v>62.421880283025004</v>
      </c>
      <c r="K148" s="131"/>
      <c r="L148" s="22">
        <f ca="1">IFERROR(INDEX(Spark_Spread_On,MATCH($C148,Adjustments!$H$3:$H$14,0),1)+IF(INDEX(Spark_Spread_On,MATCH($C148,Adjustments!$H$3:$H$14,0),1)&gt;1,INDEX(Spark_Spread_On,MATCH($C148,Adjustments!$H$3:$H$14,0),1)*(Inflation_Rate+BLS_Esc_Rate),-INDEX(Spark_Spread_On,MATCH($C148,Adjustments!$H$3:$H$14,0),1)*(Inflation_Rate+BLS_Esc_Rate)),"Data Missing")</f>
        <v>5.7233949711767895</v>
      </c>
      <c r="M148" s="22">
        <f ca="1">IFERROR(INDEX(Spark_Spread_Off,MATCH($C148,Adjustments!$H$3:$H$14,0),1)+IF(INDEX(Spark_Spread_Off,MATCH($C148,Adjustments!$H$3:$H$14,0),1)&gt;1,INDEX(Spark_Spread_Off,MATCH($C148,Adjustments!$H$3:$H$14,0),1)*(Inflation_Rate+BLS_Esc_Rate),-INDEX(Spark_Spread_Off,MATCH($C148,Adjustments!$H$3:$H$14,0),1)*(Inflation_Rate+BLS_Esc_Rate)),"Data Missing")</f>
        <v>15.231728502085021</v>
      </c>
      <c r="N148" s="131"/>
      <c r="O148" s="24">
        <f t="shared" ca="1" si="14"/>
        <v>96.364961522225471</v>
      </c>
      <c r="P148" s="24">
        <f t="shared" ca="1" si="18"/>
        <v>77.653608785110023</v>
      </c>
    </row>
    <row r="149" spans="1:16" x14ac:dyDescent="0.25">
      <c r="A149" s="3">
        <v>147</v>
      </c>
      <c r="B149" s="19">
        <f t="shared" si="15"/>
        <v>50465</v>
      </c>
      <c r="C149" s="9" t="str">
        <f t="shared" si="16"/>
        <v>Mar</v>
      </c>
      <c r="D149" s="9">
        <f t="shared" si="17"/>
        <v>2038</v>
      </c>
      <c r="E149" s="9" t="str">
        <f>INDEX(Seasons,MATCH($C149,'General Inputs'!$B$20:$B$31,0),1)</f>
        <v>Shoulder</v>
      </c>
      <c r="F149" s="22">
        <f>'Elec Futures'!H149</f>
        <v>0</v>
      </c>
      <c r="G149" s="22">
        <f>'Elec Futures'!I149</f>
        <v>0</v>
      </c>
      <c r="H149" s="131"/>
      <c r="I149" s="22">
        <f>IFERROR('NG Futures'!$I155*HR_Low_Plant/1000,"Data Missing")</f>
        <v>49.396563722157602</v>
      </c>
      <c r="J149" s="22">
        <f>IFERROR('NG Futures'!$I155*HR_High_Plant/1000,"Data Missing")</f>
        <v>34.017796739212073</v>
      </c>
      <c r="K149" s="131"/>
      <c r="L149" s="22">
        <f ca="1">IFERROR(INDEX(Spark_Spread_On,MATCH($C149,Adjustments!$H$3:$H$14,0),1)+IF(INDEX(Spark_Spread_On,MATCH($C149,Adjustments!$H$3:$H$14,0),1)&gt;1,INDEX(Spark_Spread_On,MATCH($C149,Adjustments!$H$3:$H$14,0),1)*(Inflation_Rate+BLS_Esc_Rate),-INDEX(Spark_Spread_On,MATCH($C149,Adjustments!$H$3:$H$14,0),1)*(Inflation_Rate+BLS_Esc_Rate)),"Data Missing")</f>
        <v>16.528539996336317</v>
      </c>
      <c r="M149" s="22">
        <f ca="1">IFERROR(INDEX(Spark_Spread_Off,MATCH($C149,Adjustments!$H$3:$H$14,0),1)+IF(INDEX(Spark_Spread_Off,MATCH($C149,Adjustments!$H$3:$H$14,0),1)&gt;1,INDEX(Spark_Spread_Off,MATCH($C149,Adjustments!$H$3:$H$14,0),1)*(Inflation_Rate+BLS_Esc_Rate),-INDEX(Spark_Spread_Off,MATCH($C149,Adjustments!$H$3:$H$14,0),1)*(Inflation_Rate+BLS_Esc_Rate)),"Data Missing")</f>
        <v>18.910646100880385</v>
      </c>
      <c r="N149" s="131"/>
      <c r="O149" s="24">
        <f t="shared" ca="1" si="14"/>
        <v>65.925103718493915</v>
      </c>
      <c r="P149" s="24">
        <f t="shared" ca="1" si="18"/>
        <v>52.928442840092458</v>
      </c>
    </row>
    <row r="150" spans="1:16" x14ac:dyDescent="0.25">
      <c r="A150" s="3">
        <v>148</v>
      </c>
      <c r="B150" s="19">
        <f t="shared" si="15"/>
        <v>50496</v>
      </c>
      <c r="C150" s="9" t="str">
        <f t="shared" si="16"/>
        <v>Apr</v>
      </c>
      <c r="D150" s="9">
        <f t="shared" si="17"/>
        <v>2038</v>
      </c>
      <c r="E150" s="9" t="str">
        <f>INDEX(Seasons,MATCH($C150,'General Inputs'!$B$20:$B$31,0),1)</f>
        <v>Shoulder</v>
      </c>
      <c r="F150" s="22">
        <f>'Elec Futures'!H150</f>
        <v>0</v>
      </c>
      <c r="G150" s="22">
        <f>'Elec Futures'!I150</f>
        <v>0</v>
      </c>
      <c r="H150" s="131"/>
      <c r="I150" s="22">
        <f>IFERROR('NG Futures'!$I156*HR_Low_Plant/1000,"Data Missing")</f>
        <v>40.550429398669245</v>
      </c>
      <c r="J150" s="22">
        <f>IFERROR('NG Futures'!$I156*HR_High_Plant/1000,"Data Missing")</f>
        <v>27.925753555058169</v>
      </c>
      <c r="K150" s="131"/>
      <c r="L150" s="22">
        <f ca="1">IFERROR(INDEX(Spark_Spread_On,MATCH($C150,Adjustments!$H$3:$H$14,0),1)+IF(INDEX(Spark_Spread_On,MATCH($C150,Adjustments!$H$3:$H$14,0),1)&gt;1,INDEX(Spark_Spread_On,MATCH($C150,Adjustments!$H$3:$H$14,0),1)*(Inflation_Rate+BLS_Esc_Rate),-INDEX(Spark_Spread_On,MATCH($C150,Adjustments!$H$3:$H$14,0),1)*(Inflation_Rate+BLS_Esc_Rate)),"Data Missing")</f>
        <v>22.38036101423787</v>
      </c>
      <c r="M150" s="22">
        <f ca="1">IFERROR(INDEX(Spark_Spread_Off,MATCH($C150,Adjustments!$H$3:$H$14,0),1)+IF(INDEX(Spark_Spread_Off,MATCH($C150,Adjustments!$H$3:$H$14,0),1)&gt;1,INDEX(Spark_Spread_Off,MATCH($C150,Adjustments!$H$3:$H$14,0),1)*(Inflation_Rate+BLS_Esc_Rate),-INDEX(Spark_Spread_Off,MATCH($C150,Adjustments!$H$3:$H$14,0),1)*(Inflation_Rate+BLS_Esc_Rate)),"Data Missing")</f>
        <v>18.258127438419208</v>
      </c>
      <c r="N150" s="131"/>
      <c r="O150" s="24">
        <f t="shared" ca="1" si="14"/>
        <v>62.930790412907115</v>
      </c>
      <c r="P150" s="24">
        <f t="shared" ca="1" si="18"/>
        <v>46.183880993477374</v>
      </c>
    </row>
    <row r="151" spans="1:16" x14ac:dyDescent="0.25">
      <c r="A151" s="3">
        <v>149</v>
      </c>
      <c r="B151" s="19">
        <f t="shared" si="15"/>
        <v>50526</v>
      </c>
      <c r="C151" s="9" t="str">
        <f t="shared" si="16"/>
        <v>May</v>
      </c>
      <c r="D151" s="9">
        <f t="shared" si="17"/>
        <v>2038</v>
      </c>
      <c r="E151" s="9" t="str">
        <f>INDEX(Seasons,MATCH($C151,'General Inputs'!$B$20:$B$31,0),1)</f>
        <v>Summer</v>
      </c>
      <c r="F151" s="22">
        <f>'Elec Futures'!H151</f>
        <v>0</v>
      </c>
      <c r="G151" s="22">
        <f>'Elec Futures'!I151</f>
        <v>0</v>
      </c>
      <c r="H151" s="131"/>
      <c r="I151" s="22">
        <f>IFERROR('NG Futures'!$I157*HR_Low_Plant/1000,"Data Missing")</f>
        <v>35.931198550165263</v>
      </c>
      <c r="J151" s="22">
        <f>IFERROR('NG Futures'!$I157*HR_High_Plant/1000,"Data Missing")</f>
        <v>24.744640452135567</v>
      </c>
      <c r="K151" s="131"/>
      <c r="L151" s="22">
        <f ca="1">IFERROR(INDEX(Spark_Spread_On,MATCH($C151,Adjustments!$H$3:$H$14,0),1)+IF(INDEX(Spark_Spread_On,MATCH($C151,Adjustments!$H$3:$H$14,0),1)&gt;1,INDEX(Spark_Spread_On,MATCH($C151,Adjustments!$H$3:$H$14,0),1)*(Inflation_Rate+BLS_Esc_Rate),-INDEX(Spark_Spread_On,MATCH($C151,Adjustments!$H$3:$H$14,0),1)*(Inflation_Rate+BLS_Esc_Rate)),"Data Missing")</f>
        <v>26.985629754035614</v>
      </c>
      <c r="M151" s="22">
        <f ca="1">IFERROR(INDEX(Spark_Spread_Off,MATCH($C151,Adjustments!$H$3:$H$14,0),1)+IF(INDEX(Spark_Spread_Off,MATCH($C151,Adjustments!$H$3:$H$14,0),1)&gt;1,INDEX(Spark_Spread_Off,MATCH($C151,Adjustments!$H$3:$H$14,0),1)*(Inflation_Rate+BLS_Esc_Rate),-INDEX(Spark_Spread_Off,MATCH($C151,Adjustments!$H$3:$H$14,0),1)*(Inflation_Rate+BLS_Esc_Rate)),"Data Missing")</f>
        <v>16.780298980176973</v>
      </c>
      <c r="N151" s="131"/>
      <c r="O151" s="24">
        <f t="shared" ca="1" si="14"/>
        <v>62.916828304200877</v>
      </c>
      <c r="P151" s="24">
        <f t="shared" ca="1" si="18"/>
        <v>41.524939432312536</v>
      </c>
    </row>
    <row r="152" spans="1:16" x14ac:dyDescent="0.25">
      <c r="A152" s="3">
        <v>150</v>
      </c>
      <c r="B152" s="19">
        <f t="shared" si="15"/>
        <v>50557</v>
      </c>
      <c r="C152" s="9" t="str">
        <f t="shared" si="16"/>
        <v>Jun</v>
      </c>
      <c r="D152" s="9">
        <f t="shared" si="17"/>
        <v>2038</v>
      </c>
      <c r="E152" s="9" t="str">
        <f>INDEX(Seasons,MATCH($C152,'General Inputs'!$B$20:$B$31,0),1)</f>
        <v>Summer</v>
      </c>
      <c r="F152" s="22">
        <f>'Elec Futures'!H152</f>
        <v>0</v>
      </c>
      <c r="G152" s="22">
        <f>'Elec Futures'!I152</f>
        <v>0</v>
      </c>
      <c r="H152" s="131"/>
      <c r="I152" s="22">
        <f>IFERROR('NG Futures'!$I158*HR_Low_Plant/1000,"Data Missing")</f>
        <v>36.24172896585798</v>
      </c>
      <c r="J152" s="22">
        <f>IFERROR('NG Futures'!$I158*HR_High_Plant/1000,"Data Missing")</f>
        <v>24.958492586097666</v>
      </c>
      <c r="K152" s="131"/>
      <c r="L152" s="22">
        <f ca="1">IFERROR(INDEX(Spark_Spread_On,MATCH($C152,Adjustments!$H$3:$H$14,0),1)+IF(INDEX(Spark_Spread_On,MATCH($C152,Adjustments!$H$3:$H$14,0),1)&gt;1,INDEX(Spark_Spread_On,MATCH($C152,Adjustments!$H$3:$H$14,0),1)*(Inflation_Rate+BLS_Esc_Rate),-INDEX(Spark_Spread_On,MATCH($C152,Adjustments!$H$3:$H$14,0),1)*(Inflation_Rate+BLS_Esc_Rate)),"Data Missing")</f>
        <v>32.794481155748485</v>
      </c>
      <c r="M152" s="22">
        <f ca="1">IFERROR(INDEX(Spark_Spread_Off,MATCH($C152,Adjustments!$H$3:$H$14,0),1)+IF(INDEX(Spark_Spread_Off,MATCH($C152,Adjustments!$H$3:$H$14,0),1)&gt;1,INDEX(Spark_Spread_Off,MATCH($C152,Adjustments!$H$3:$H$14,0),1)*(Inflation_Rate+BLS_Esc_Rate),-INDEX(Spark_Spread_Off,MATCH($C152,Adjustments!$H$3:$H$14,0),1)*(Inflation_Rate+BLS_Esc_Rate)),"Data Missing")</f>
        <v>16.358897919725173</v>
      </c>
      <c r="N152" s="131"/>
      <c r="O152" s="24">
        <f t="shared" ca="1" si="14"/>
        <v>69.036210121606473</v>
      </c>
      <c r="P152" s="24">
        <f t="shared" ca="1" si="18"/>
        <v>41.317390505822843</v>
      </c>
    </row>
    <row r="153" spans="1:16" x14ac:dyDescent="0.25">
      <c r="A153" s="3">
        <v>151</v>
      </c>
      <c r="B153" s="19">
        <f t="shared" si="15"/>
        <v>50587</v>
      </c>
      <c r="C153" s="9" t="str">
        <f t="shared" si="16"/>
        <v>Jul</v>
      </c>
      <c r="D153" s="9">
        <f t="shared" si="17"/>
        <v>2038</v>
      </c>
      <c r="E153" s="9" t="str">
        <f>INDEX(Seasons,MATCH($C153,'General Inputs'!$B$20:$B$31,0),1)</f>
        <v>Summer</v>
      </c>
      <c r="F153" s="22">
        <f>'Elec Futures'!H153</f>
        <v>0</v>
      </c>
      <c r="G153" s="22">
        <f>'Elec Futures'!I153</f>
        <v>0</v>
      </c>
      <c r="H153" s="131"/>
      <c r="I153" s="22">
        <f>IFERROR('NG Futures'!$I159*HR_Low_Plant/1000,"Data Missing")</f>
        <v>37.894928681919289</v>
      </c>
      <c r="J153" s="22">
        <f>IFERROR('NG Futures'!$I159*HR_High_Plant/1000,"Data Missing")</f>
        <v>26.096997123105972</v>
      </c>
      <c r="K153" s="131"/>
      <c r="L153" s="22">
        <f ca="1">IFERROR(INDEX(Spark_Spread_On,MATCH($C153,Adjustments!$H$3:$H$14,0),1)+IF(INDEX(Spark_Spread_On,MATCH($C153,Adjustments!$H$3:$H$14,0),1)&gt;1,INDEX(Spark_Spread_On,MATCH($C153,Adjustments!$H$3:$H$14,0),1)*(Inflation_Rate+BLS_Esc_Rate),-INDEX(Spark_Spread_On,MATCH($C153,Adjustments!$H$3:$H$14,0),1)*(Inflation_Rate+BLS_Esc_Rate)),"Data Missing")</f>
        <v>60.778479645687867</v>
      </c>
      <c r="M153" s="22">
        <f ca="1">IFERROR(INDEX(Spark_Spread_Off,MATCH($C153,Adjustments!$H$3:$H$14,0),1)+IF(INDEX(Spark_Spread_Off,MATCH($C153,Adjustments!$H$3:$H$14,0),1)&gt;1,INDEX(Spark_Spread_Off,MATCH($C153,Adjustments!$H$3:$H$14,0),1)*(Inflation_Rate+BLS_Esc_Rate),-INDEX(Spark_Spread_Off,MATCH($C153,Adjustments!$H$3:$H$14,0),1)*(Inflation_Rate+BLS_Esc_Rate)),"Data Missing")</f>
        <v>23.644134063075864</v>
      </c>
      <c r="N153" s="131"/>
      <c r="O153" s="24">
        <f t="shared" ca="1" si="14"/>
        <v>98.673408327607149</v>
      </c>
      <c r="P153" s="24">
        <f t="shared" ca="1" si="18"/>
        <v>49.741131186181832</v>
      </c>
    </row>
    <row r="154" spans="1:16" x14ac:dyDescent="0.25">
      <c r="A154" s="3">
        <v>152</v>
      </c>
      <c r="B154" s="19">
        <f t="shared" si="15"/>
        <v>50618</v>
      </c>
      <c r="C154" s="9" t="str">
        <f t="shared" si="16"/>
        <v>Aug</v>
      </c>
      <c r="D154" s="9">
        <f t="shared" si="17"/>
        <v>2038</v>
      </c>
      <c r="E154" s="9" t="str">
        <f>INDEX(Seasons,MATCH($C154,'General Inputs'!$B$20:$B$31,0),1)</f>
        <v>Summer</v>
      </c>
      <c r="F154" s="22">
        <f>'Elec Futures'!H154</f>
        <v>0</v>
      </c>
      <c r="G154" s="22">
        <f>'Elec Futures'!I154</f>
        <v>0</v>
      </c>
      <c r="H154" s="131"/>
      <c r="I154" s="22">
        <f>IFERROR('NG Futures'!$I160*HR_Low_Plant/1000,"Data Missing")</f>
        <v>38.485672662095439</v>
      </c>
      <c r="J154" s="22">
        <f>IFERROR('NG Futures'!$I160*HR_High_Plant/1000,"Data Missing")</f>
        <v>26.503823167840157</v>
      </c>
      <c r="K154" s="131"/>
      <c r="L154" s="22">
        <f ca="1">IFERROR(INDEX(Spark_Spread_On,MATCH($C154,Adjustments!$H$3:$H$14,0),1)+IF(INDEX(Spark_Spread_On,MATCH($C154,Adjustments!$H$3:$H$14,0),1)&gt;1,INDEX(Spark_Spread_On,MATCH($C154,Adjustments!$H$3:$H$14,0),1)*(Inflation_Rate+BLS_Esc_Rate),-INDEX(Spark_Spread_On,MATCH($C154,Adjustments!$H$3:$H$14,0),1)*(Inflation_Rate+BLS_Esc_Rate)),"Data Missing")</f>
        <v>48.689674403055982</v>
      </c>
      <c r="M154" s="22">
        <f ca="1">IFERROR(INDEX(Spark_Spread_Off,MATCH($C154,Adjustments!$H$3:$H$14,0),1)+IF(INDEX(Spark_Spread_Off,MATCH($C154,Adjustments!$H$3:$H$14,0),1)&gt;1,INDEX(Spark_Spread_Off,MATCH($C154,Adjustments!$H$3:$H$14,0),1)*(Inflation_Rate+BLS_Esc_Rate),-INDEX(Spark_Spread_Off,MATCH($C154,Adjustments!$H$3:$H$14,0),1)*(Inflation_Rate+BLS_Esc_Rate)),"Data Missing")</f>
        <v>19.08142511960634</v>
      </c>
      <c r="N154" s="131"/>
      <c r="O154" s="24">
        <f t="shared" ca="1" si="14"/>
        <v>87.175347065151414</v>
      </c>
      <c r="P154" s="24">
        <f t="shared" ca="1" si="18"/>
        <v>45.585248287446497</v>
      </c>
    </row>
    <row r="155" spans="1:16" x14ac:dyDescent="0.25">
      <c r="A155" s="3">
        <v>153</v>
      </c>
      <c r="B155" s="19">
        <f t="shared" si="15"/>
        <v>50649</v>
      </c>
      <c r="C155" s="9" t="str">
        <f t="shared" si="16"/>
        <v>Sep</v>
      </c>
      <c r="D155" s="9">
        <f t="shared" si="17"/>
        <v>2038</v>
      </c>
      <c r="E155" s="9" t="str">
        <f>INDEX(Seasons,MATCH($C155,'General Inputs'!$B$20:$B$31,0),1)</f>
        <v>Summer</v>
      </c>
      <c r="F155" s="22">
        <f>'Elec Futures'!H155</f>
        <v>0</v>
      </c>
      <c r="G155" s="22">
        <f>'Elec Futures'!I155</f>
        <v>0</v>
      </c>
      <c r="H155" s="131"/>
      <c r="I155" s="22">
        <f>IFERROR('NG Futures'!$I161*HR_Low_Plant/1000,"Data Missing")</f>
        <v>32.903291948431722</v>
      </c>
      <c r="J155" s="22">
        <f>IFERROR('NG Futures'!$I161*HR_High_Plant/1000,"Data Missing")</f>
        <v>22.659420275638023</v>
      </c>
      <c r="K155" s="131"/>
      <c r="L155" s="22">
        <f ca="1">IFERROR(INDEX(Spark_Spread_On,MATCH($C155,Adjustments!$H$3:$H$14,0),1)+IF(INDEX(Spark_Spread_On,MATCH($C155,Adjustments!$H$3:$H$14,0),1)&gt;1,INDEX(Spark_Spread_On,MATCH($C155,Adjustments!$H$3:$H$14,0),1)*(Inflation_Rate+BLS_Esc_Rate),-INDEX(Spark_Spread_On,MATCH($C155,Adjustments!$H$3:$H$14,0),1)*(Inflation_Rate+BLS_Esc_Rate)),"Data Missing")</f>
        <v>33.852941430998882</v>
      </c>
      <c r="M155" s="22">
        <f ca="1">IFERROR(INDEX(Spark_Spread_Off,MATCH($C155,Adjustments!$H$3:$H$14,0),1)+IF(INDEX(Spark_Spread_Off,MATCH($C155,Adjustments!$H$3:$H$14,0),1)&gt;1,INDEX(Spark_Spread_Off,MATCH($C155,Adjustments!$H$3:$H$14,0),1)*(Inflation_Rate+BLS_Esc_Rate),-INDEX(Spark_Spread_Off,MATCH($C155,Adjustments!$H$3:$H$14,0),1)*(Inflation_Rate+BLS_Esc_Rate)),"Data Missing")</f>
        <v>17.63955138931739</v>
      </c>
      <c r="N155" s="131"/>
      <c r="O155" s="24">
        <f t="shared" ca="1" si="14"/>
        <v>66.756233379430597</v>
      </c>
      <c r="P155" s="24">
        <f t="shared" ca="1" si="18"/>
        <v>40.298971664955417</v>
      </c>
    </row>
    <row r="156" spans="1:16" x14ac:dyDescent="0.25">
      <c r="A156" s="3">
        <v>154</v>
      </c>
      <c r="B156" s="19">
        <f t="shared" si="15"/>
        <v>50679</v>
      </c>
      <c r="C156" s="9" t="str">
        <f t="shared" si="16"/>
        <v>Oct</v>
      </c>
      <c r="D156" s="9">
        <f t="shared" si="17"/>
        <v>2038</v>
      </c>
      <c r="E156" s="9" t="str">
        <f>INDEX(Seasons,MATCH($C156,'General Inputs'!$B$20:$B$31,0),1)</f>
        <v>Shoulder</v>
      </c>
      <c r="F156" s="22">
        <f>'Elec Futures'!H156</f>
        <v>0</v>
      </c>
      <c r="G156" s="22">
        <f>'Elec Futures'!I156</f>
        <v>0</v>
      </c>
      <c r="H156" s="131"/>
      <c r="I156" s="22">
        <f>IFERROR('NG Futures'!$I162*HR_Low_Plant/1000,"Data Missing")</f>
        <v>33.522454650455337</v>
      </c>
      <c r="J156" s="22">
        <f>IFERROR('NG Futures'!$I162*HR_High_Plant/1000,"Data Missing")</f>
        <v>23.085817363994448</v>
      </c>
      <c r="K156" s="131"/>
      <c r="L156" s="22">
        <f ca="1">IFERROR(INDEX(Spark_Spread_On,MATCH($C156,Adjustments!$H$3:$H$14,0),1)+IF(INDEX(Spark_Spread_On,MATCH($C156,Adjustments!$H$3:$H$14,0),1)&gt;1,INDEX(Spark_Spread_On,MATCH($C156,Adjustments!$H$3:$H$14,0),1)*(Inflation_Rate+BLS_Esc_Rate),-INDEX(Spark_Spread_On,MATCH($C156,Adjustments!$H$3:$H$14,0),1)*(Inflation_Rate+BLS_Esc_Rate)),"Data Missing")</f>
        <v>29.40002941858754</v>
      </c>
      <c r="M156" s="22">
        <f ca="1">IFERROR(INDEX(Spark_Spread_Off,MATCH($C156,Adjustments!$H$3:$H$14,0),1)+IF(INDEX(Spark_Spread_Off,MATCH($C156,Adjustments!$H$3:$H$14,0),1)&gt;1,INDEX(Spark_Spread_Off,MATCH($C156,Adjustments!$H$3:$H$14,0),1)*(Inflation_Rate+BLS_Esc_Rate),-INDEX(Spark_Spread_Off,MATCH($C156,Adjustments!$H$3:$H$14,0),1)*(Inflation_Rate+BLS_Esc_Rate)),"Data Missing")</f>
        <v>20.150009298264372</v>
      </c>
      <c r="N156" s="131"/>
      <c r="O156" s="24">
        <f t="shared" ca="1" si="14"/>
        <v>62.922484069042881</v>
      </c>
      <c r="P156" s="24">
        <f t="shared" ca="1" si="18"/>
        <v>43.235826662258816</v>
      </c>
    </row>
    <row r="157" spans="1:16" x14ac:dyDescent="0.25">
      <c r="A157" s="3">
        <v>155</v>
      </c>
      <c r="B157" s="19">
        <f t="shared" si="15"/>
        <v>50710</v>
      </c>
      <c r="C157" s="9" t="str">
        <f t="shared" si="16"/>
        <v>Nov</v>
      </c>
      <c r="D157" s="9">
        <f t="shared" si="17"/>
        <v>2038</v>
      </c>
      <c r="E157" s="9" t="str">
        <f>INDEX(Seasons,MATCH($C157,'General Inputs'!$B$20:$B$31,0),1)</f>
        <v>Shoulder</v>
      </c>
      <c r="F157" s="22">
        <f>'Elec Futures'!H157</f>
        <v>0</v>
      </c>
      <c r="G157" s="22">
        <f>'Elec Futures'!I157</f>
        <v>0</v>
      </c>
      <c r="H157" s="131"/>
      <c r="I157" s="22">
        <f>IFERROR('NG Futures'!$I163*HR_Low_Plant/1000,"Data Missing")</f>
        <v>43.741149376879669</v>
      </c>
      <c r="J157" s="22">
        <f>IFERROR('NG Futures'!$I163*HR_High_Plant/1000,"Data Missing")</f>
        <v>30.123097975229189</v>
      </c>
      <c r="K157" s="131"/>
      <c r="L157" s="22">
        <f ca="1">IFERROR(INDEX(Spark_Spread_On,MATCH($C157,Adjustments!$H$3:$H$14,0),1)+IF(INDEX(Spark_Spread_On,MATCH($C157,Adjustments!$H$3:$H$14,0),1)&gt;1,INDEX(Spark_Spread_On,MATCH($C157,Adjustments!$H$3:$H$14,0),1)*(Inflation_Rate+BLS_Esc_Rate),-INDEX(Spark_Spread_On,MATCH($C157,Adjustments!$H$3:$H$14,0),1)*(Inflation_Rate+BLS_Esc_Rate)),"Data Missing")</f>
        <v>22.485829134622783</v>
      </c>
      <c r="M157" s="22">
        <f ca="1">IFERROR(INDEX(Spark_Spread_Off,MATCH($C157,Adjustments!$H$3:$H$14,0),1)+IF(INDEX(Spark_Spread_Off,MATCH($C157,Adjustments!$H$3:$H$14,0),1)&gt;1,INDEX(Spark_Spread_Off,MATCH($C157,Adjustments!$H$3:$H$14,0),1)*(Inflation_Rate+BLS_Esc_Rate),-INDEX(Spark_Spread_Off,MATCH($C157,Adjustments!$H$3:$H$14,0),1)*(Inflation_Rate+BLS_Esc_Rate)),"Data Missing")</f>
        <v>20.092402274981513</v>
      </c>
      <c r="N157" s="131"/>
      <c r="O157" s="24">
        <f t="shared" ca="1" si="14"/>
        <v>66.226978511502452</v>
      </c>
      <c r="P157" s="24">
        <f t="shared" ca="1" si="18"/>
        <v>50.215500250210702</v>
      </c>
    </row>
    <row r="158" spans="1:16" x14ac:dyDescent="0.25">
      <c r="A158" s="3">
        <v>156</v>
      </c>
      <c r="B158" s="19">
        <f t="shared" si="15"/>
        <v>50740</v>
      </c>
      <c r="C158" s="9" t="str">
        <f t="shared" si="16"/>
        <v>Dec</v>
      </c>
      <c r="D158" s="9">
        <f t="shared" si="17"/>
        <v>2038</v>
      </c>
      <c r="E158" s="9" t="str">
        <f>INDEX(Seasons,MATCH($C158,'General Inputs'!$B$20:$B$31,0),1)</f>
        <v>Winter</v>
      </c>
      <c r="F158" s="22">
        <f>'Elec Futures'!H158</f>
        <v>0</v>
      </c>
      <c r="G158" s="22">
        <f>'Elec Futures'!I158</f>
        <v>0</v>
      </c>
      <c r="H158" s="131"/>
      <c r="I158" s="22">
        <f>IFERROR('NG Futures'!$I164*HR_Low_Plant/1000,"Data Missing")</f>
        <v>71.37237815301944</v>
      </c>
      <c r="J158" s="22">
        <f>IFERROR('NG Futures'!$I164*HR_High_Plant/1000,"Data Missing")</f>
        <v>49.151820893049475</v>
      </c>
      <c r="K158" s="131"/>
      <c r="L158" s="22">
        <f ca="1">IFERROR(INDEX(Spark_Spread_On,MATCH($C158,Adjustments!$H$3:$H$14,0),1)+IF(INDEX(Spark_Spread_On,MATCH($C158,Adjustments!$H$3:$H$14,0),1)&gt;1,INDEX(Spark_Spread_On,MATCH($C158,Adjustments!$H$3:$H$14,0),1)*(Inflation_Rate+BLS_Esc_Rate),-INDEX(Spark_Spread_On,MATCH($C158,Adjustments!$H$3:$H$14,0),1)*(Inflation_Rate+BLS_Esc_Rate)),"Data Missing")</f>
        <v>11.430346668590539</v>
      </c>
      <c r="M158" s="22">
        <f ca="1">IFERROR(INDEX(Spark_Spread_Off,MATCH($C158,Adjustments!$H$3:$H$14,0),1)+IF(INDEX(Spark_Spread_Off,MATCH($C158,Adjustments!$H$3:$H$14,0),1)&gt;1,INDEX(Spark_Spread_Off,MATCH($C158,Adjustments!$H$3:$H$14,0),1)*(Inflation_Rate+BLS_Esc_Rate),-INDEX(Spark_Spread_Off,MATCH($C158,Adjustments!$H$3:$H$14,0),1)*(Inflation_Rate+BLS_Esc_Rate)),"Data Missing")</f>
        <v>16.391451942721986</v>
      </c>
      <c r="N158" s="131"/>
      <c r="O158" s="24">
        <f t="shared" ca="1" si="14"/>
        <v>82.802724821609985</v>
      </c>
      <c r="P158" s="24">
        <f t="shared" ca="1" si="18"/>
        <v>65.543272835771461</v>
      </c>
    </row>
    <row r="159" spans="1:16" x14ac:dyDescent="0.25">
      <c r="A159" s="3">
        <v>157</v>
      </c>
      <c r="B159" s="19">
        <f t="shared" si="15"/>
        <v>50771</v>
      </c>
      <c r="C159" s="9" t="str">
        <f t="shared" si="16"/>
        <v>Jan</v>
      </c>
      <c r="D159" s="9">
        <f t="shared" si="17"/>
        <v>2039</v>
      </c>
      <c r="E159" s="9" t="str">
        <f>INDEX(Seasons,MATCH($C159,'General Inputs'!$B$20:$B$31,0),1)</f>
        <v>Winter</v>
      </c>
      <c r="F159" s="22">
        <f>'Elec Futures'!H159</f>
        <v>0</v>
      </c>
      <c r="G159" s="22">
        <f>'Elec Futures'!I159</f>
        <v>0</v>
      </c>
      <c r="H159" s="131"/>
      <c r="I159" s="22">
        <f>IFERROR('NG Futures'!$I165*HR_Low_Plant/1000,"Data Missing")</f>
        <v>101.23157070142987</v>
      </c>
      <c r="J159" s="22">
        <f>IFERROR('NG Futures'!$I165*HR_High_Plant/1000,"Data Missing")</f>
        <v>69.714869541981983</v>
      </c>
      <c r="K159" s="131"/>
      <c r="L159" s="22">
        <f ca="1">IFERROR(INDEX(Spark_Spread_On,MATCH($C159,Adjustments!$H$3:$H$14,0),1)+IF(INDEX(Spark_Spread_On,MATCH($C159,Adjustments!$H$3:$H$14,0),1)&gt;1,INDEX(Spark_Spread_On,MATCH($C159,Adjustments!$H$3:$H$14,0),1)*(Inflation_Rate+BLS_Esc_Rate),-INDEX(Spark_Spread_On,MATCH($C159,Adjustments!$H$3:$H$14,0),1)*(Inflation_Rate+BLS_Esc_Rate)),"Data Missing")</f>
        <v>5.8685378940686794</v>
      </c>
      <c r="M159" s="22">
        <f ca="1">IFERROR(INDEX(Spark_Spread_Off,MATCH($C159,Adjustments!$H$3:$H$14,0),1)+IF(INDEX(Spark_Spread_Off,MATCH($C159,Adjustments!$H$3:$H$14,0),1)&gt;1,INDEX(Spark_Spread_Off,MATCH($C159,Adjustments!$H$3:$H$14,0),1)*(Inflation_Rate+BLS_Esc_Rate),-INDEX(Spark_Spread_Off,MATCH($C159,Adjustments!$H$3:$H$14,0),1)*(Inflation_Rate+BLS_Esc_Rate)),"Data Missing")</f>
        <v>16.761915371452087</v>
      </c>
      <c r="N159" s="131"/>
      <c r="O159" s="24">
        <f t="shared" ca="1" si="14"/>
        <v>107.10010859549855</v>
      </c>
      <c r="P159" s="24">
        <f t="shared" ca="1" si="18"/>
        <v>86.476784913434074</v>
      </c>
    </row>
    <row r="160" spans="1:16" x14ac:dyDescent="0.25">
      <c r="A160" s="3">
        <v>158</v>
      </c>
      <c r="B160" s="19">
        <f t="shared" si="15"/>
        <v>50802</v>
      </c>
      <c r="C160" s="9" t="str">
        <f t="shared" si="16"/>
        <v>Feb</v>
      </c>
      <c r="D160" s="9">
        <f t="shared" si="17"/>
        <v>2039</v>
      </c>
      <c r="E160" s="9" t="str">
        <f>INDEX(Seasons,MATCH($C160,'General Inputs'!$B$20:$B$31,0),1)</f>
        <v>Winter</v>
      </c>
      <c r="F160" s="22">
        <f>'Elec Futures'!H160</f>
        <v>0</v>
      </c>
      <c r="G160" s="22">
        <f>'Elec Futures'!I160</f>
        <v>0</v>
      </c>
      <c r="H160" s="131"/>
      <c r="I160" s="22">
        <f>IFERROR('NG Futures'!$I166*HR_Low_Plant/1000,"Data Missing")</f>
        <v>89.170616022985101</v>
      </c>
      <c r="J160" s="22">
        <f>IFERROR('NG Futures'!$I166*HR_High_Plant/1000,"Data Missing")</f>
        <v>61.408884796971428</v>
      </c>
      <c r="K160" s="131"/>
      <c r="L160" s="22">
        <f ca="1">IFERROR(INDEX(Spark_Spread_On,MATCH($C160,Adjustments!$H$3:$H$14,0),1)+IF(INDEX(Spark_Spread_On,MATCH($C160,Adjustments!$H$3:$H$14,0),1)&gt;1,INDEX(Spark_Spread_On,MATCH($C160,Adjustments!$H$3:$H$14,0),1)*(Inflation_Rate+BLS_Esc_Rate),-INDEX(Spark_Spread_On,MATCH($C160,Adjustments!$H$3:$H$14,0),1)*(Inflation_Rate+BLS_Esc_Rate)),"Data Missing")</f>
        <v>5.7233949711767895</v>
      </c>
      <c r="M160" s="22">
        <f ca="1">IFERROR(INDEX(Spark_Spread_Off,MATCH($C160,Adjustments!$H$3:$H$14,0),1)+IF(INDEX(Spark_Spread_Off,MATCH($C160,Adjustments!$H$3:$H$14,0),1)&gt;1,INDEX(Spark_Spread_Off,MATCH($C160,Adjustments!$H$3:$H$14,0),1)*(Inflation_Rate+BLS_Esc_Rate),-INDEX(Spark_Spread_Off,MATCH($C160,Adjustments!$H$3:$H$14,0),1)*(Inflation_Rate+BLS_Esc_Rate)),"Data Missing")</f>
        <v>15.231728502085021</v>
      </c>
      <c r="N160" s="131"/>
      <c r="O160" s="24">
        <f t="shared" ca="1" si="14"/>
        <v>94.894010994161889</v>
      </c>
      <c r="P160" s="24">
        <f t="shared" ca="1" si="18"/>
        <v>76.640613299056454</v>
      </c>
    </row>
    <row r="161" spans="1:16" x14ac:dyDescent="0.25">
      <c r="A161" s="3">
        <v>159</v>
      </c>
      <c r="B161" s="19">
        <f t="shared" si="15"/>
        <v>50830</v>
      </c>
      <c r="C161" s="9" t="str">
        <f t="shared" si="16"/>
        <v>Mar</v>
      </c>
      <c r="D161" s="9">
        <f t="shared" si="17"/>
        <v>2039</v>
      </c>
      <c r="E161" s="9" t="str">
        <f>INDEX(Seasons,MATCH($C161,'General Inputs'!$B$20:$B$31,0),1)</f>
        <v>Shoulder</v>
      </c>
      <c r="F161" s="22">
        <f>'Elec Futures'!H161</f>
        <v>0</v>
      </c>
      <c r="G161" s="22">
        <f>'Elec Futures'!I161</f>
        <v>0</v>
      </c>
      <c r="H161" s="131"/>
      <c r="I161" s="22">
        <f>IFERROR('NG Futures'!$I167*HR_Low_Plant/1000,"Data Missing")</f>
        <v>48.594945830318636</v>
      </c>
      <c r="J161" s="22">
        <f>IFERROR('NG Futures'!$I167*HR_High_Plant/1000,"Data Missing")</f>
        <v>33.465748733191319</v>
      </c>
      <c r="K161" s="131"/>
      <c r="L161" s="22">
        <f ca="1">IFERROR(INDEX(Spark_Spread_On,MATCH($C161,Adjustments!$H$3:$H$14,0),1)+IF(INDEX(Spark_Spread_On,MATCH($C161,Adjustments!$H$3:$H$14,0),1)&gt;1,INDEX(Spark_Spread_On,MATCH($C161,Adjustments!$H$3:$H$14,0),1)*(Inflation_Rate+BLS_Esc_Rate),-INDEX(Spark_Spread_On,MATCH($C161,Adjustments!$H$3:$H$14,0),1)*(Inflation_Rate+BLS_Esc_Rate)),"Data Missing")</f>
        <v>16.528539996336317</v>
      </c>
      <c r="M161" s="22">
        <f ca="1">IFERROR(INDEX(Spark_Spread_Off,MATCH($C161,Adjustments!$H$3:$H$14,0),1)+IF(INDEX(Spark_Spread_Off,MATCH($C161,Adjustments!$H$3:$H$14,0),1)&gt;1,INDEX(Spark_Spread_Off,MATCH($C161,Adjustments!$H$3:$H$14,0),1)*(Inflation_Rate+BLS_Esc_Rate),-INDEX(Spark_Spread_Off,MATCH($C161,Adjustments!$H$3:$H$14,0),1)*(Inflation_Rate+BLS_Esc_Rate)),"Data Missing")</f>
        <v>18.910646100880385</v>
      </c>
      <c r="N161" s="131"/>
      <c r="O161" s="24">
        <f t="shared" ca="1" si="14"/>
        <v>65.123485826654957</v>
      </c>
      <c r="P161" s="24">
        <f t="shared" ca="1" si="18"/>
        <v>52.376394834071704</v>
      </c>
    </row>
    <row r="162" spans="1:16" x14ac:dyDescent="0.25">
      <c r="A162" s="3">
        <v>160</v>
      </c>
      <c r="B162" s="19">
        <f t="shared" si="15"/>
        <v>50861</v>
      </c>
      <c r="C162" s="9" t="str">
        <f t="shared" si="16"/>
        <v>Apr</v>
      </c>
      <c r="D162" s="9">
        <f t="shared" si="17"/>
        <v>2039</v>
      </c>
      <c r="E162" s="9" t="str">
        <f>INDEX(Seasons,MATCH($C162,'General Inputs'!$B$20:$B$31,0),1)</f>
        <v>Shoulder</v>
      </c>
      <c r="F162" s="22">
        <f>'Elec Futures'!H162</f>
        <v>0</v>
      </c>
      <c r="G162" s="22">
        <f>'Elec Futures'!I162</f>
        <v>0</v>
      </c>
      <c r="H162" s="131"/>
      <c r="I162" s="22">
        <f>IFERROR('NG Futures'!$I168*HR_Low_Plant/1000,"Data Missing")</f>
        <v>39.892368447090433</v>
      </c>
      <c r="J162" s="22">
        <f>IFERROR('NG Futures'!$I168*HR_High_Plant/1000,"Data Missing")</f>
        <v>27.472568515330817</v>
      </c>
      <c r="K162" s="131"/>
      <c r="L162" s="22">
        <f ca="1">IFERROR(INDEX(Spark_Spread_On,MATCH($C162,Adjustments!$H$3:$H$14,0),1)+IF(INDEX(Spark_Spread_On,MATCH($C162,Adjustments!$H$3:$H$14,0),1)&gt;1,INDEX(Spark_Spread_On,MATCH($C162,Adjustments!$H$3:$H$14,0),1)*(Inflation_Rate+BLS_Esc_Rate),-INDEX(Spark_Spread_On,MATCH($C162,Adjustments!$H$3:$H$14,0),1)*(Inflation_Rate+BLS_Esc_Rate)),"Data Missing")</f>
        <v>22.38036101423787</v>
      </c>
      <c r="M162" s="22">
        <f ca="1">IFERROR(INDEX(Spark_Spread_Off,MATCH($C162,Adjustments!$H$3:$H$14,0),1)+IF(INDEX(Spark_Spread_Off,MATCH($C162,Adjustments!$H$3:$H$14,0),1)&gt;1,INDEX(Spark_Spread_Off,MATCH($C162,Adjustments!$H$3:$H$14,0),1)*(Inflation_Rate+BLS_Esc_Rate),-INDEX(Spark_Spread_Off,MATCH($C162,Adjustments!$H$3:$H$14,0),1)*(Inflation_Rate+BLS_Esc_Rate)),"Data Missing")</f>
        <v>18.258127438419208</v>
      </c>
      <c r="N162" s="131"/>
      <c r="O162" s="24">
        <f t="shared" ca="1" si="14"/>
        <v>62.272729461328304</v>
      </c>
      <c r="P162" s="24">
        <f t="shared" ca="1" si="18"/>
        <v>45.730695953750029</v>
      </c>
    </row>
    <row r="163" spans="1:16" x14ac:dyDescent="0.25">
      <c r="A163" s="3">
        <v>161</v>
      </c>
      <c r="B163" s="19">
        <f t="shared" si="15"/>
        <v>50891</v>
      </c>
      <c r="C163" s="9" t="str">
        <f t="shared" si="16"/>
        <v>May</v>
      </c>
      <c r="D163" s="9">
        <f t="shared" si="17"/>
        <v>2039</v>
      </c>
      <c r="E163" s="9" t="str">
        <f>INDEX(Seasons,MATCH($C163,'General Inputs'!$B$20:$B$31,0),1)</f>
        <v>Summer</v>
      </c>
      <c r="F163" s="22">
        <f>'Elec Futures'!H163</f>
        <v>0</v>
      </c>
      <c r="G163" s="22">
        <f>'Elec Futures'!I163</f>
        <v>0</v>
      </c>
      <c r="H163" s="131"/>
      <c r="I163" s="22">
        <f>IFERROR('NG Futures'!$I169*HR_Low_Plant/1000,"Data Missing")</f>
        <v>35.348099454547175</v>
      </c>
      <c r="J163" s="22">
        <f>IFERROR('NG Futures'!$I169*HR_High_Plant/1000,"Data Missing")</f>
        <v>24.343079189187698</v>
      </c>
      <c r="K163" s="131"/>
      <c r="L163" s="22">
        <f ca="1">IFERROR(INDEX(Spark_Spread_On,MATCH($C163,Adjustments!$H$3:$H$14,0),1)+IF(INDEX(Spark_Spread_On,MATCH($C163,Adjustments!$H$3:$H$14,0),1)&gt;1,INDEX(Spark_Spread_On,MATCH($C163,Adjustments!$H$3:$H$14,0),1)*(Inflation_Rate+BLS_Esc_Rate),-INDEX(Spark_Spread_On,MATCH($C163,Adjustments!$H$3:$H$14,0),1)*(Inflation_Rate+BLS_Esc_Rate)),"Data Missing")</f>
        <v>26.985629754035614</v>
      </c>
      <c r="M163" s="22">
        <f ca="1">IFERROR(INDEX(Spark_Spread_Off,MATCH($C163,Adjustments!$H$3:$H$14,0),1)+IF(INDEX(Spark_Spread_Off,MATCH($C163,Adjustments!$H$3:$H$14,0),1)&gt;1,INDEX(Spark_Spread_Off,MATCH($C163,Adjustments!$H$3:$H$14,0),1)*(Inflation_Rate+BLS_Esc_Rate),-INDEX(Spark_Spread_Off,MATCH($C163,Adjustments!$H$3:$H$14,0),1)*(Inflation_Rate+BLS_Esc_Rate)),"Data Missing")</f>
        <v>16.780298980176973</v>
      </c>
      <c r="N163" s="131"/>
      <c r="O163" s="24">
        <f t="shared" ca="1" si="14"/>
        <v>62.333729208582788</v>
      </c>
      <c r="P163" s="24">
        <f t="shared" ca="1" si="18"/>
        <v>41.12337816936467</v>
      </c>
    </row>
    <row r="164" spans="1:16" x14ac:dyDescent="0.25">
      <c r="A164" s="3">
        <v>162</v>
      </c>
      <c r="B164" s="19">
        <f t="shared" si="15"/>
        <v>50922</v>
      </c>
      <c r="C164" s="9" t="str">
        <f t="shared" si="16"/>
        <v>Jun</v>
      </c>
      <c r="D164" s="9">
        <f t="shared" si="17"/>
        <v>2039</v>
      </c>
      <c r="E164" s="9" t="str">
        <f>INDEX(Seasons,MATCH($C164,'General Inputs'!$B$20:$B$31,0),1)</f>
        <v>Summer</v>
      </c>
      <c r="F164" s="22">
        <f>'Elec Futures'!H164</f>
        <v>0</v>
      </c>
      <c r="G164" s="22">
        <f>'Elec Futures'!I164</f>
        <v>0</v>
      </c>
      <c r="H164" s="131"/>
      <c r="I164" s="22">
        <f>IFERROR('NG Futures'!$I170*HR_Low_Plant/1000,"Data Missing")</f>
        <v>35.653590516924162</v>
      </c>
      <c r="J164" s="22">
        <f>IFERROR('NG Futures'!$I170*HR_High_Plant/1000,"Data Missing")</f>
        <v>24.553460885453845</v>
      </c>
      <c r="K164" s="131"/>
      <c r="L164" s="22">
        <f ca="1">IFERROR(INDEX(Spark_Spread_On,MATCH($C164,Adjustments!$H$3:$H$14,0),1)+IF(INDEX(Spark_Spread_On,MATCH($C164,Adjustments!$H$3:$H$14,0),1)&gt;1,INDEX(Spark_Spread_On,MATCH($C164,Adjustments!$H$3:$H$14,0),1)*(Inflation_Rate+BLS_Esc_Rate),-INDEX(Spark_Spread_On,MATCH($C164,Adjustments!$H$3:$H$14,0),1)*(Inflation_Rate+BLS_Esc_Rate)),"Data Missing")</f>
        <v>32.794481155748485</v>
      </c>
      <c r="M164" s="22">
        <f ca="1">IFERROR(INDEX(Spark_Spread_Off,MATCH($C164,Adjustments!$H$3:$H$14,0),1)+IF(INDEX(Spark_Spread_Off,MATCH($C164,Adjustments!$H$3:$H$14,0),1)&gt;1,INDEX(Spark_Spread_Off,MATCH($C164,Adjustments!$H$3:$H$14,0),1)*(Inflation_Rate+BLS_Esc_Rate),-INDEX(Spark_Spread_Off,MATCH($C164,Adjustments!$H$3:$H$14,0),1)*(Inflation_Rate+BLS_Esc_Rate)),"Data Missing")</f>
        <v>16.358897919725173</v>
      </c>
      <c r="N164" s="131"/>
      <c r="O164" s="24">
        <f t="shared" ca="1" si="14"/>
        <v>68.448071672672654</v>
      </c>
      <c r="P164" s="24">
        <f t="shared" ca="1" si="18"/>
        <v>40.912358805179018</v>
      </c>
    </row>
    <row r="165" spans="1:16" x14ac:dyDescent="0.25">
      <c r="A165" s="3">
        <v>163</v>
      </c>
      <c r="B165" s="19">
        <f t="shared" si="15"/>
        <v>50952</v>
      </c>
      <c r="C165" s="9" t="str">
        <f t="shared" si="16"/>
        <v>Jul</v>
      </c>
      <c r="D165" s="9">
        <f t="shared" si="17"/>
        <v>2039</v>
      </c>
      <c r="E165" s="9" t="str">
        <f>INDEX(Seasons,MATCH($C165,'General Inputs'!$B$20:$B$31,0),1)</f>
        <v>Summer</v>
      </c>
      <c r="F165" s="22">
        <f>'Elec Futures'!H165</f>
        <v>0</v>
      </c>
      <c r="G165" s="22">
        <f>'Elec Futures'!I165</f>
        <v>0</v>
      </c>
      <c r="H165" s="131"/>
      <c r="I165" s="22">
        <f>IFERROR('NG Futures'!$I171*HR_Low_Plant/1000,"Data Missing")</f>
        <v>37.279961758060928</v>
      </c>
      <c r="J165" s="22">
        <f>IFERROR('NG Futures'!$I171*HR_High_Plant/1000,"Data Missing")</f>
        <v>25.67348952984867</v>
      </c>
      <c r="K165" s="131"/>
      <c r="L165" s="22">
        <f ca="1">IFERROR(INDEX(Spark_Spread_On,MATCH($C165,Adjustments!$H$3:$H$14,0),1)+IF(INDEX(Spark_Spread_On,MATCH($C165,Adjustments!$H$3:$H$14,0),1)&gt;1,INDEX(Spark_Spread_On,MATCH($C165,Adjustments!$H$3:$H$14,0),1)*(Inflation_Rate+BLS_Esc_Rate),-INDEX(Spark_Spread_On,MATCH($C165,Adjustments!$H$3:$H$14,0),1)*(Inflation_Rate+BLS_Esc_Rate)),"Data Missing")</f>
        <v>60.778479645687867</v>
      </c>
      <c r="M165" s="22">
        <f ca="1">IFERROR(INDEX(Spark_Spread_Off,MATCH($C165,Adjustments!$H$3:$H$14,0),1)+IF(INDEX(Spark_Spread_Off,MATCH($C165,Adjustments!$H$3:$H$14,0),1)&gt;1,INDEX(Spark_Spread_Off,MATCH($C165,Adjustments!$H$3:$H$14,0),1)*(Inflation_Rate+BLS_Esc_Rate),-INDEX(Spark_Spread_Off,MATCH($C165,Adjustments!$H$3:$H$14,0),1)*(Inflation_Rate+BLS_Esc_Rate)),"Data Missing")</f>
        <v>23.644134063075864</v>
      </c>
      <c r="N165" s="131"/>
      <c r="O165" s="24">
        <f t="shared" ca="1" si="14"/>
        <v>98.058441403748787</v>
      </c>
      <c r="P165" s="24">
        <f t="shared" ca="1" si="18"/>
        <v>49.317623592924534</v>
      </c>
    </row>
    <row r="166" spans="1:16" x14ac:dyDescent="0.25">
      <c r="A166" s="3">
        <v>164</v>
      </c>
      <c r="B166" s="19">
        <f t="shared" si="15"/>
        <v>50983</v>
      </c>
      <c r="C166" s="9" t="str">
        <f t="shared" si="16"/>
        <v>Aug</v>
      </c>
      <c r="D166" s="9">
        <f t="shared" si="17"/>
        <v>2039</v>
      </c>
      <c r="E166" s="9" t="str">
        <f>INDEX(Seasons,MATCH($C166,'General Inputs'!$B$20:$B$31,0),1)</f>
        <v>Summer</v>
      </c>
      <c r="F166" s="22">
        <f>'Elec Futures'!H166</f>
        <v>0</v>
      </c>
      <c r="G166" s="22">
        <f>'Elec Futures'!I166</f>
        <v>0</v>
      </c>
      <c r="H166" s="131"/>
      <c r="I166" s="22">
        <f>IFERROR('NG Futures'!$I172*HR_Low_Plant/1000,"Data Missing")</f>
        <v>37.861119019884178</v>
      </c>
      <c r="J166" s="22">
        <f>IFERROR('NG Futures'!$I172*HR_High_Plant/1000,"Data Missing")</f>
        <v>26.073713515416159</v>
      </c>
      <c r="K166" s="131"/>
      <c r="L166" s="22">
        <f ca="1">IFERROR(INDEX(Spark_Spread_On,MATCH($C166,Adjustments!$H$3:$H$14,0),1)+IF(INDEX(Spark_Spread_On,MATCH($C166,Adjustments!$H$3:$H$14,0),1)&gt;1,INDEX(Spark_Spread_On,MATCH($C166,Adjustments!$H$3:$H$14,0),1)*(Inflation_Rate+BLS_Esc_Rate),-INDEX(Spark_Spread_On,MATCH($C166,Adjustments!$H$3:$H$14,0),1)*(Inflation_Rate+BLS_Esc_Rate)),"Data Missing")</f>
        <v>48.689674403055982</v>
      </c>
      <c r="M166" s="22">
        <f ca="1">IFERROR(INDEX(Spark_Spread_Off,MATCH($C166,Adjustments!$H$3:$H$14,0),1)+IF(INDEX(Spark_Spread_Off,MATCH($C166,Adjustments!$H$3:$H$14,0),1)&gt;1,INDEX(Spark_Spread_Off,MATCH($C166,Adjustments!$H$3:$H$14,0),1)*(Inflation_Rate+BLS_Esc_Rate),-INDEX(Spark_Spread_Off,MATCH($C166,Adjustments!$H$3:$H$14,0),1)*(Inflation_Rate+BLS_Esc_Rate)),"Data Missing")</f>
        <v>19.08142511960634</v>
      </c>
      <c r="N166" s="131"/>
      <c r="O166" s="24">
        <f t="shared" ca="1" si="14"/>
        <v>86.55079342294016</v>
      </c>
      <c r="P166" s="24">
        <f t="shared" ca="1" si="18"/>
        <v>45.155138635022496</v>
      </c>
    </row>
    <row r="167" spans="1:16" x14ac:dyDescent="0.25">
      <c r="A167" s="3">
        <v>165</v>
      </c>
      <c r="B167" s="19">
        <f t="shared" si="15"/>
        <v>51014</v>
      </c>
      <c r="C167" s="9" t="str">
        <f t="shared" si="16"/>
        <v>Sep</v>
      </c>
      <c r="D167" s="9">
        <f t="shared" si="17"/>
        <v>2039</v>
      </c>
      <c r="E167" s="9" t="str">
        <f>INDEX(Seasons,MATCH($C167,'General Inputs'!$B$20:$B$31,0),1)</f>
        <v>Summer</v>
      </c>
      <c r="F167" s="22">
        <f>'Elec Futures'!H167</f>
        <v>0</v>
      </c>
      <c r="G167" s="22">
        <f>'Elec Futures'!I167</f>
        <v>0</v>
      </c>
      <c r="H167" s="131"/>
      <c r="I167" s="22">
        <f>IFERROR('NG Futures'!$I173*HR_Low_Plant/1000,"Data Missing")</f>
        <v>32.369330362062655</v>
      </c>
      <c r="J167" s="22">
        <f>IFERROR('NG Futures'!$I173*HR_High_Plant/1000,"Data Missing")</f>
        <v>22.291698407092284</v>
      </c>
      <c r="K167" s="131"/>
      <c r="L167" s="22">
        <f ca="1">IFERROR(INDEX(Spark_Spread_On,MATCH($C167,Adjustments!$H$3:$H$14,0),1)+IF(INDEX(Spark_Spread_On,MATCH($C167,Adjustments!$H$3:$H$14,0),1)&gt;1,INDEX(Spark_Spread_On,MATCH($C167,Adjustments!$H$3:$H$14,0),1)*(Inflation_Rate+BLS_Esc_Rate),-INDEX(Spark_Spread_On,MATCH($C167,Adjustments!$H$3:$H$14,0),1)*(Inflation_Rate+BLS_Esc_Rate)),"Data Missing")</f>
        <v>33.852941430998882</v>
      </c>
      <c r="M167" s="22">
        <f ca="1">IFERROR(INDEX(Spark_Spread_Off,MATCH($C167,Adjustments!$H$3:$H$14,0),1)+IF(INDEX(Spark_Spread_Off,MATCH($C167,Adjustments!$H$3:$H$14,0),1)&gt;1,INDEX(Spark_Spread_Off,MATCH($C167,Adjustments!$H$3:$H$14,0),1)*(Inflation_Rate+BLS_Esc_Rate),-INDEX(Spark_Spread_Off,MATCH($C167,Adjustments!$H$3:$H$14,0),1)*(Inflation_Rate+BLS_Esc_Rate)),"Data Missing")</f>
        <v>17.63955138931739</v>
      </c>
      <c r="N167" s="131"/>
      <c r="O167" s="24">
        <f t="shared" ca="1" si="14"/>
        <v>66.222271793061537</v>
      </c>
      <c r="P167" s="24">
        <f t="shared" ca="1" si="18"/>
        <v>39.931249796409674</v>
      </c>
    </row>
    <row r="168" spans="1:16" x14ac:dyDescent="0.25">
      <c r="A168" s="3">
        <v>166</v>
      </c>
      <c r="B168" s="19">
        <f t="shared" si="15"/>
        <v>51044</v>
      </c>
      <c r="C168" s="9" t="str">
        <f t="shared" si="16"/>
        <v>Oct</v>
      </c>
      <c r="D168" s="9">
        <f t="shared" si="17"/>
        <v>2039</v>
      </c>
      <c r="E168" s="9" t="str">
        <f>INDEX(Seasons,MATCH($C168,'General Inputs'!$B$20:$B$31,0),1)</f>
        <v>Shoulder</v>
      </c>
      <c r="F168" s="22">
        <f>'Elec Futures'!H168</f>
        <v>0</v>
      </c>
      <c r="G168" s="22">
        <f>'Elec Futures'!I168</f>
        <v>0</v>
      </c>
      <c r="H168" s="131"/>
      <c r="I168" s="22">
        <f>IFERROR('NG Futures'!$I174*HR_Low_Plant/1000,"Data Missing")</f>
        <v>32.978445160699842</v>
      </c>
      <c r="J168" s="22">
        <f>IFERROR('NG Futures'!$I174*HR_High_Plant/1000,"Data Missing")</f>
        <v>22.711175833243516</v>
      </c>
      <c r="K168" s="131"/>
      <c r="L168" s="22">
        <f ca="1">IFERROR(INDEX(Spark_Spread_On,MATCH($C168,Adjustments!$H$3:$H$14,0),1)+IF(INDEX(Spark_Spread_On,MATCH($C168,Adjustments!$H$3:$H$14,0),1)&gt;1,INDEX(Spark_Spread_On,MATCH($C168,Adjustments!$H$3:$H$14,0),1)*(Inflation_Rate+BLS_Esc_Rate),-INDEX(Spark_Spread_On,MATCH($C168,Adjustments!$H$3:$H$14,0),1)*(Inflation_Rate+BLS_Esc_Rate)),"Data Missing")</f>
        <v>29.40002941858754</v>
      </c>
      <c r="M168" s="22">
        <f ca="1">IFERROR(INDEX(Spark_Spread_Off,MATCH($C168,Adjustments!$H$3:$H$14,0),1)+IF(INDEX(Spark_Spread_Off,MATCH($C168,Adjustments!$H$3:$H$14,0),1)&gt;1,INDEX(Spark_Spread_Off,MATCH($C168,Adjustments!$H$3:$H$14,0),1)*(Inflation_Rate+BLS_Esc_Rate),-INDEX(Spark_Spread_Off,MATCH($C168,Adjustments!$H$3:$H$14,0),1)*(Inflation_Rate+BLS_Esc_Rate)),"Data Missing")</f>
        <v>20.150009298264372</v>
      </c>
      <c r="N168" s="131"/>
      <c r="O168" s="24">
        <f t="shared" ca="1" si="14"/>
        <v>62.378474579287385</v>
      </c>
      <c r="P168" s="24">
        <f t="shared" ca="1" si="18"/>
        <v>42.861185131507888</v>
      </c>
    </row>
    <row r="169" spans="1:16" x14ac:dyDescent="0.25">
      <c r="A169" s="3">
        <v>167</v>
      </c>
      <c r="B169" s="19">
        <f t="shared" si="15"/>
        <v>51075</v>
      </c>
      <c r="C169" s="9" t="str">
        <f t="shared" si="16"/>
        <v>Nov</v>
      </c>
      <c r="D169" s="9">
        <f t="shared" si="17"/>
        <v>2039</v>
      </c>
      <c r="E169" s="9" t="str">
        <f>INDEX(Seasons,MATCH($C169,'General Inputs'!$B$20:$B$31,0),1)</f>
        <v>Shoulder</v>
      </c>
      <c r="F169" s="22">
        <f>'Elec Futures'!H169</f>
        <v>0</v>
      </c>
      <c r="G169" s="22">
        <f>'Elec Futures'!I169</f>
        <v>0</v>
      </c>
      <c r="H169" s="131"/>
      <c r="I169" s="22">
        <f>IFERROR('NG Futures'!$I175*HR_Low_Plant/1000,"Data Missing")</f>
        <v>43.031308746115712</v>
      </c>
      <c r="J169" s="22">
        <f>IFERROR('NG Futures'!$I175*HR_High_Plant/1000,"Data Missing")</f>
        <v>29.634253965140068</v>
      </c>
      <c r="K169" s="131"/>
      <c r="L169" s="22">
        <f ca="1">IFERROR(INDEX(Spark_Spread_On,MATCH($C169,Adjustments!$H$3:$H$14,0),1)+IF(INDEX(Spark_Spread_On,MATCH($C169,Adjustments!$H$3:$H$14,0),1)&gt;1,INDEX(Spark_Spread_On,MATCH($C169,Adjustments!$H$3:$H$14,0),1)*(Inflation_Rate+BLS_Esc_Rate),-INDEX(Spark_Spread_On,MATCH($C169,Adjustments!$H$3:$H$14,0),1)*(Inflation_Rate+BLS_Esc_Rate)),"Data Missing")</f>
        <v>22.485829134622783</v>
      </c>
      <c r="M169" s="22">
        <f ca="1">IFERROR(INDEX(Spark_Spread_Off,MATCH($C169,Adjustments!$H$3:$H$14,0),1)+IF(INDEX(Spark_Spread_Off,MATCH($C169,Adjustments!$H$3:$H$14,0),1)&gt;1,INDEX(Spark_Spread_Off,MATCH($C169,Adjustments!$H$3:$H$14,0),1)*(Inflation_Rate+BLS_Esc_Rate),-INDEX(Spark_Spread_Off,MATCH($C169,Adjustments!$H$3:$H$14,0),1)*(Inflation_Rate+BLS_Esc_Rate)),"Data Missing")</f>
        <v>20.092402274981513</v>
      </c>
      <c r="N169" s="131"/>
      <c r="O169" s="24">
        <f t="shared" ca="1" si="14"/>
        <v>65.517137880738488</v>
      </c>
      <c r="P169" s="24">
        <f t="shared" ca="1" si="18"/>
        <v>49.726656240121585</v>
      </c>
    </row>
    <row r="170" spans="1:16" x14ac:dyDescent="0.25">
      <c r="A170" s="3">
        <v>168</v>
      </c>
      <c r="B170" s="19">
        <f t="shared" si="15"/>
        <v>51105</v>
      </c>
      <c r="C170" s="9" t="str">
        <f t="shared" si="16"/>
        <v>Dec</v>
      </c>
      <c r="D170" s="9">
        <f t="shared" si="17"/>
        <v>2039</v>
      </c>
      <c r="E170" s="9" t="str">
        <f>INDEX(Seasons,MATCH($C170,'General Inputs'!$B$20:$B$31,0),1)</f>
        <v>Winter</v>
      </c>
      <c r="F170" s="22">
        <f>'Elec Futures'!H170</f>
        <v>0</v>
      </c>
      <c r="G170" s="22">
        <f>'Elec Futures'!I170</f>
        <v>0</v>
      </c>
      <c r="H170" s="131"/>
      <c r="I170" s="22">
        <f>IFERROR('NG Futures'!$I176*HR_Low_Plant/1000,"Data Missing")</f>
        <v>70.21413209298241</v>
      </c>
      <c r="J170" s="22">
        <f>IFERROR('NG Futures'!$I176*HR_High_Plant/1000,"Data Missing")</f>
        <v>48.354174739645913</v>
      </c>
      <c r="K170" s="131"/>
      <c r="L170" s="22">
        <f ca="1">IFERROR(INDEX(Spark_Spread_On,MATCH($C170,Adjustments!$H$3:$H$14,0),1)+IF(INDEX(Spark_Spread_On,MATCH($C170,Adjustments!$H$3:$H$14,0),1)&gt;1,INDEX(Spark_Spread_On,MATCH($C170,Adjustments!$H$3:$H$14,0),1)*(Inflation_Rate+BLS_Esc_Rate),-INDEX(Spark_Spread_On,MATCH($C170,Adjustments!$H$3:$H$14,0),1)*(Inflation_Rate+BLS_Esc_Rate)),"Data Missing")</f>
        <v>11.430346668590539</v>
      </c>
      <c r="M170" s="22">
        <f ca="1">IFERROR(INDEX(Spark_Spread_Off,MATCH($C170,Adjustments!$H$3:$H$14,0),1)+IF(INDEX(Spark_Spread_Off,MATCH($C170,Adjustments!$H$3:$H$14,0),1)&gt;1,INDEX(Spark_Spread_Off,MATCH($C170,Adjustments!$H$3:$H$14,0),1)*(Inflation_Rate+BLS_Esc_Rate),-INDEX(Spark_Spread_Off,MATCH($C170,Adjustments!$H$3:$H$14,0),1)*(Inflation_Rate+BLS_Esc_Rate)),"Data Missing")</f>
        <v>16.391451942721986</v>
      </c>
      <c r="N170" s="131"/>
      <c r="O170" s="24">
        <f t="shared" ca="1" si="14"/>
        <v>81.644478761572955</v>
      </c>
      <c r="P170" s="24">
        <f t="shared" ca="1" si="18"/>
        <v>64.745626682367899</v>
      </c>
    </row>
    <row r="171" spans="1:16" x14ac:dyDescent="0.25">
      <c r="A171" s="3">
        <v>169</v>
      </c>
      <c r="B171" s="19">
        <f t="shared" si="15"/>
        <v>51136</v>
      </c>
      <c r="C171" s="9" t="str">
        <f t="shared" si="16"/>
        <v>Jan</v>
      </c>
      <c r="D171" s="9">
        <f t="shared" si="17"/>
        <v>2040</v>
      </c>
      <c r="E171" s="9" t="str">
        <f>INDEX(Seasons,MATCH($C171,'General Inputs'!$B$20:$B$31,0),1)</f>
        <v>Winter</v>
      </c>
      <c r="F171" s="22">
        <f>'Elec Futures'!H171</f>
        <v>0</v>
      </c>
      <c r="G171" s="22">
        <f>'Elec Futures'!I171</f>
        <v>0</v>
      </c>
      <c r="H171" s="131"/>
      <c r="I171" s="22">
        <f>IFERROR('NG Futures'!$I177*HR_Low_Plant/1000,"Data Missing")</f>
        <v>101.94294487220866</v>
      </c>
      <c r="J171" s="22">
        <f>IFERROR('NG Futures'!$I177*HR_High_Plant/1000,"Data Missing")</f>
        <v>70.20476965088821</v>
      </c>
      <c r="K171" s="131"/>
      <c r="L171" s="22">
        <f ca="1">IFERROR(INDEX(Spark_Spread_On,MATCH($C171,Adjustments!$H$3:$H$14,0),1)+IF(INDEX(Spark_Spread_On,MATCH($C171,Adjustments!$H$3:$H$14,0),1)&gt;1,INDEX(Spark_Spread_On,MATCH($C171,Adjustments!$H$3:$H$14,0),1)*(Inflation_Rate+BLS_Esc_Rate),-INDEX(Spark_Spread_On,MATCH($C171,Adjustments!$H$3:$H$14,0),1)*(Inflation_Rate+BLS_Esc_Rate)),"Data Missing")</f>
        <v>5.8685378940686794</v>
      </c>
      <c r="M171" s="22">
        <f ca="1">IFERROR(INDEX(Spark_Spread_Off,MATCH($C171,Adjustments!$H$3:$H$14,0),1)+IF(INDEX(Spark_Spread_Off,MATCH($C171,Adjustments!$H$3:$H$14,0),1)&gt;1,INDEX(Spark_Spread_Off,MATCH($C171,Adjustments!$H$3:$H$14,0),1)*(Inflation_Rate+BLS_Esc_Rate),-INDEX(Spark_Spread_Off,MATCH($C171,Adjustments!$H$3:$H$14,0),1)*(Inflation_Rate+BLS_Esc_Rate)),"Data Missing")</f>
        <v>16.761915371452087</v>
      </c>
      <c r="N171" s="131"/>
      <c r="O171" s="24">
        <f t="shared" ca="1" si="14"/>
        <v>107.81148276627734</v>
      </c>
      <c r="P171" s="24">
        <f t="shared" ca="1" si="18"/>
        <v>86.9666850223403</v>
      </c>
    </row>
    <row r="172" spans="1:16" x14ac:dyDescent="0.25">
      <c r="A172" s="3">
        <v>170</v>
      </c>
      <c r="B172" s="19">
        <f t="shared" si="15"/>
        <v>51167</v>
      </c>
      <c r="C172" s="9" t="str">
        <f t="shared" si="16"/>
        <v>Feb</v>
      </c>
      <c r="D172" s="9">
        <f t="shared" si="17"/>
        <v>2040</v>
      </c>
      <c r="E172" s="9" t="str">
        <f>INDEX(Seasons,MATCH($C172,'General Inputs'!$B$20:$B$31,0),1)</f>
        <v>Winter</v>
      </c>
      <c r="F172" s="22">
        <f>'Elec Futures'!H172</f>
        <v>0</v>
      </c>
      <c r="G172" s="22">
        <f>'Elec Futures'!I172</f>
        <v>0</v>
      </c>
      <c r="H172" s="131"/>
      <c r="I172" s="22">
        <f>IFERROR('NG Futures'!$I178*HR_Low_Plant/1000,"Data Missing")</f>
        <v>89.797235491513106</v>
      </c>
      <c r="J172" s="22">
        <f>IFERROR('NG Futures'!$I178*HR_High_Plant/1000,"Data Missing")</f>
        <v>61.840417116367497</v>
      </c>
      <c r="K172" s="131"/>
      <c r="L172" s="22">
        <f ca="1">IFERROR(INDEX(Spark_Spread_On,MATCH($C172,Adjustments!$H$3:$H$14,0),1)+IF(INDEX(Spark_Spread_On,MATCH($C172,Adjustments!$H$3:$H$14,0),1)&gt;1,INDEX(Spark_Spread_On,MATCH($C172,Adjustments!$H$3:$H$14,0),1)*(Inflation_Rate+BLS_Esc_Rate),-INDEX(Spark_Spread_On,MATCH($C172,Adjustments!$H$3:$H$14,0),1)*(Inflation_Rate+BLS_Esc_Rate)),"Data Missing")</f>
        <v>5.7233949711767895</v>
      </c>
      <c r="M172" s="22">
        <f ca="1">IFERROR(INDEX(Spark_Spread_Off,MATCH($C172,Adjustments!$H$3:$H$14,0),1)+IF(INDEX(Spark_Spread_Off,MATCH($C172,Adjustments!$H$3:$H$14,0),1)&gt;1,INDEX(Spark_Spread_Off,MATCH($C172,Adjustments!$H$3:$H$14,0),1)*(Inflation_Rate+BLS_Esc_Rate),-INDEX(Spark_Spread_Off,MATCH($C172,Adjustments!$H$3:$H$14,0),1)*(Inflation_Rate+BLS_Esc_Rate)),"Data Missing")</f>
        <v>15.231728502085021</v>
      </c>
      <c r="N172" s="131"/>
      <c r="O172" s="24">
        <f t="shared" ca="1" si="14"/>
        <v>95.520630462689894</v>
      </c>
      <c r="P172" s="24">
        <f t="shared" ca="1" si="18"/>
        <v>77.072145618452524</v>
      </c>
    </row>
    <row r="173" spans="1:16" x14ac:dyDescent="0.25">
      <c r="A173" s="3">
        <v>171</v>
      </c>
      <c r="B173" s="19">
        <f t="shared" si="15"/>
        <v>51196</v>
      </c>
      <c r="C173" s="9" t="str">
        <f t="shared" si="16"/>
        <v>Mar</v>
      </c>
      <c r="D173" s="9">
        <f t="shared" si="17"/>
        <v>2040</v>
      </c>
      <c r="E173" s="9" t="str">
        <f>INDEX(Seasons,MATCH($C173,'General Inputs'!$B$20:$B$31,0),1)</f>
        <v>Shoulder</v>
      </c>
      <c r="F173" s="22">
        <f>'Elec Futures'!H173</f>
        <v>0</v>
      </c>
      <c r="G173" s="22">
        <f>'Elec Futures'!I173</f>
        <v>0</v>
      </c>
      <c r="H173" s="131"/>
      <c r="I173" s="22">
        <f>IFERROR('NG Futures'!$I179*HR_Low_Plant/1000,"Data Missing")</f>
        <v>48.936432078675288</v>
      </c>
      <c r="J173" s="22">
        <f>IFERROR('NG Futures'!$I179*HR_High_Plant/1000,"Data Missing")</f>
        <v>33.700919135958067</v>
      </c>
      <c r="K173" s="131"/>
      <c r="L173" s="22">
        <f ca="1">IFERROR(INDEX(Spark_Spread_On,MATCH($C173,Adjustments!$H$3:$H$14,0),1)+IF(INDEX(Spark_Spread_On,MATCH($C173,Adjustments!$H$3:$H$14,0),1)&gt;1,INDEX(Spark_Spread_On,MATCH($C173,Adjustments!$H$3:$H$14,0),1)*(Inflation_Rate+BLS_Esc_Rate),-INDEX(Spark_Spread_On,MATCH($C173,Adjustments!$H$3:$H$14,0),1)*(Inflation_Rate+BLS_Esc_Rate)),"Data Missing")</f>
        <v>16.528539996336317</v>
      </c>
      <c r="M173" s="22">
        <f ca="1">IFERROR(INDEX(Spark_Spread_Off,MATCH($C173,Adjustments!$H$3:$H$14,0),1)+IF(INDEX(Spark_Spread_Off,MATCH($C173,Adjustments!$H$3:$H$14,0),1)&gt;1,INDEX(Spark_Spread_Off,MATCH($C173,Adjustments!$H$3:$H$14,0),1)*(Inflation_Rate+BLS_Esc_Rate),-INDEX(Spark_Spread_Off,MATCH($C173,Adjustments!$H$3:$H$14,0),1)*(Inflation_Rate+BLS_Esc_Rate)),"Data Missing")</f>
        <v>18.910646100880385</v>
      </c>
      <c r="N173" s="131"/>
      <c r="O173" s="24">
        <f t="shared" ca="1" si="14"/>
        <v>65.464972075011602</v>
      </c>
      <c r="P173" s="24">
        <f t="shared" ca="1" si="18"/>
        <v>52.611565236838452</v>
      </c>
    </row>
    <row r="174" spans="1:16" x14ac:dyDescent="0.25">
      <c r="A174" s="3">
        <v>172</v>
      </c>
      <c r="B174" s="19">
        <f t="shared" si="15"/>
        <v>51227</v>
      </c>
      <c r="C174" s="9" t="str">
        <f t="shared" si="16"/>
        <v>Apr</v>
      </c>
      <c r="D174" s="9">
        <f t="shared" si="17"/>
        <v>2040</v>
      </c>
      <c r="E174" s="9" t="str">
        <f>INDEX(Seasons,MATCH($C174,'General Inputs'!$B$20:$B$31,0),1)</f>
        <v>Shoulder</v>
      </c>
      <c r="F174" s="22">
        <f>'Elec Futures'!H174</f>
        <v>0</v>
      </c>
      <c r="G174" s="22">
        <f>'Elec Futures'!I174</f>
        <v>0</v>
      </c>
      <c r="H174" s="131"/>
      <c r="I174" s="22">
        <f>IFERROR('NG Futures'!$I180*HR_Low_Plant/1000,"Data Missing")</f>
        <v>40.172699971414488</v>
      </c>
      <c r="J174" s="22">
        <f>IFERROR('NG Futures'!$I180*HR_High_Plant/1000,"Data Missing")</f>
        <v>27.665623661184448</v>
      </c>
      <c r="K174" s="131"/>
      <c r="L174" s="22">
        <f ca="1">IFERROR(INDEX(Spark_Spread_On,MATCH($C174,Adjustments!$H$3:$H$14,0),1)+IF(INDEX(Spark_Spread_On,MATCH($C174,Adjustments!$H$3:$H$14,0),1)&gt;1,INDEX(Spark_Spread_On,MATCH($C174,Adjustments!$H$3:$H$14,0),1)*(Inflation_Rate+BLS_Esc_Rate),-INDEX(Spark_Spread_On,MATCH($C174,Adjustments!$H$3:$H$14,0),1)*(Inflation_Rate+BLS_Esc_Rate)),"Data Missing")</f>
        <v>22.38036101423787</v>
      </c>
      <c r="M174" s="22">
        <f ca="1">IFERROR(INDEX(Spark_Spread_Off,MATCH($C174,Adjustments!$H$3:$H$14,0),1)+IF(INDEX(Spark_Spread_Off,MATCH($C174,Adjustments!$H$3:$H$14,0),1)&gt;1,INDEX(Spark_Spread_Off,MATCH($C174,Adjustments!$H$3:$H$14,0),1)*(Inflation_Rate+BLS_Esc_Rate),-INDEX(Spark_Spread_Off,MATCH($C174,Adjustments!$H$3:$H$14,0),1)*(Inflation_Rate+BLS_Esc_Rate)),"Data Missing")</f>
        <v>18.258127438419208</v>
      </c>
      <c r="N174" s="131"/>
      <c r="O174" s="24">
        <f t="shared" ca="1" si="14"/>
        <v>62.553060985652358</v>
      </c>
      <c r="P174" s="24">
        <f t="shared" ca="1" si="18"/>
        <v>45.923751099603656</v>
      </c>
    </row>
    <row r="175" spans="1:16" x14ac:dyDescent="0.25">
      <c r="A175" s="3">
        <v>173</v>
      </c>
      <c r="B175" s="19">
        <f t="shared" si="15"/>
        <v>51257</v>
      </c>
      <c r="C175" s="9" t="str">
        <f t="shared" si="16"/>
        <v>May</v>
      </c>
      <c r="D175" s="9">
        <f t="shared" si="17"/>
        <v>2040</v>
      </c>
      <c r="E175" s="9" t="str">
        <f>INDEX(Seasons,MATCH($C175,'General Inputs'!$B$20:$B$31,0),1)</f>
        <v>Summer</v>
      </c>
      <c r="F175" s="22">
        <f>'Elec Futures'!H175</f>
        <v>0</v>
      </c>
      <c r="G175" s="22">
        <f>'Elec Futures'!I175</f>
        <v>0</v>
      </c>
      <c r="H175" s="131"/>
      <c r="I175" s="22">
        <f>IFERROR('NG Futures'!$I181*HR_Low_Plant/1000,"Data Missing")</f>
        <v>35.596497506299713</v>
      </c>
      <c r="J175" s="22">
        <f>IFERROR('NG Futures'!$I181*HR_High_Plant/1000,"Data Missing")</f>
        <v>24.514142797629429</v>
      </c>
      <c r="K175" s="131"/>
      <c r="L175" s="22">
        <f ca="1">IFERROR(INDEX(Spark_Spread_On,MATCH($C175,Adjustments!$H$3:$H$14,0),1)+IF(INDEX(Spark_Spread_On,MATCH($C175,Adjustments!$H$3:$H$14,0),1)&gt;1,INDEX(Spark_Spread_On,MATCH($C175,Adjustments!$H$3:$H$14,0),1)*(Inflation_Rate+BLS_Esc_Rate),-INDEX(Spark_Spread_On,MATCH($C175,Adjustments!$H$3:$H$14,0),1)*(Inflation_Rate+BLS_Esc_Rate)),"Data Missing")</f>
        <v>26.985629754035614</v>
      </c>
      <c r="M175" s="22">
        <f ca="1">IFERROR(INDEX(Spark_Spread_Off,MATCH($C175,Adjustments!$H$3:$H$14,0),1)+IF(INDEX(Spark_Spread_Off,MATCH($C175,Adjustments!$H$3:$H$14,0),1)&gt;1,INDEX(Spark_Spread_Off,MATCH($C175,Adjustments!$H$3:$H$14,0),1)*(Inflation_Rate+BLS_Esc_Rate),-INDEX(Spark_Spread_Off,MATCH($C175,Adjustments!$H$3:$H$14,0),1)*(Inflation_Rate+BLS_Esc_Rate)),"Data Missing")</f>
        <v>16.780298980176973</v>
      </c>
      <c r="N175" s="131"/>
      <c r="O175" s="24">
        <f t="shared" ca="1" si="14"/>
        <v>62.582127260335326</v>
      </c>
      <c r="P175" s="24">
        <f t="shared" ca="1" si="18"/>
        <v>41.294441777806398</v>
      </c>
    </row>
    <row r="176" spans="1:16" x14ac:dyDescent="0.25">
      <c r="A176" s="3">
        <v>174</v>
      </c>
      <c r="B176" s="19">
        <f t="shared" si="15"/>
        <v>51288</v>
      </c>
      <c r="C176" s="9" t="str">
        <f t="shared" si="16"/>
        <v>Jun</v>
      </c>
      <c r="D176" s="9">
        <f t="shared" si="17"/>
        <v>2040</v>
      </c>
      <c r="E176" s="9" t="str">
        <f>INDEX(Seasons,MATCH($C176,'General Inputs'!$B$20:$B$31,0),1)</f>
        <v>Summer</v>
      </c>
      <c r="F176" s="22">
        <f>'Elec Futures'!H176</f>
        <v>0</v>
      </c>
      <c r="G176" s="22">
        <f>'Elec Futures'!I176</f>
        <v>0</v>
      </c>
      <c r="H176" s="131"/>
      <c r="I176" s="22">
        <f>IFERROR('NG Futures'!$I182*HR_Low_Plant/1000,"Data Missing")</f>
        <v>35.904135314495946</v>
      </c>
      <c r="J176" s="22">
        <f>IFERROR('NG Futures'!$I182*HR_High_Plant/1000,"Data Missing")</f>
        <v>24.726002887480611</v>
      </c>
      <c r="K176" s="131"/>
      <c r="L176" s="22">
        <f ca="1">IFERROR(INDEX(Spark_Spread_On,MATCH($C176,Adjustments!$H$3:$H$14,0),1)+IF(INDEX(Spark_Spread_On,MATCH($C176,Adjustments!$H$3:$H$14,0),1)&gt;1,INDEX(Spark_Spread_On,MATCH($C176,Adjustments!$H$3:$H$14,0),1)*(Inflation_Rate+BLS_Esc_Rate),-INDEX(Spark_Spread_On,MATCH($C176,Adjustments!$H$3:$H$14,0),1)*(Inflation_Rate+BLS_Esc_Rate)),"Data Missing")</f>
        <v>32.794481155748485</v>
      </c>
      <c r="M176" s="22">
        <f ca="1">IFERROR(INDEX(Spark_Spread_Off,MATCH($C176,Adjustments!$H$3:$H$14,0),1)+IF(INDEX(Spark_Spread_Off,MATCH($C176,Adjustments!$H$3:$H$14,0),1)&gt;1,INDEX(Spark_Spread_Off,MATCH($C176,Adjustments!$H$3:$H$14,0),1)*(Inflation_Rate+BLS_Esc_Rate),-INDEX(Spark_Spread_Off,MATCH($C176,Adjustments!$H$3:$H$14,0),1)*(Inflation_Rate+BLS_Esc_Rate)),"Data Missing")</f>
        <v>16.358897919725173</v>
      </c>
      <c r="N176" s="131"/>
      <c r="O176" s="24">
        <f t="shared" ca="1" si="14"/>
        <v>68.698616470244431</v>
      </c>
      <c r="P176" s="24">
        <f t="shared" ca="1" si="18"/>
        <v>41.084900807205784</v>
      </c>
    </row>
    <row r="177" spans="1:16" x14ac:dyDescent="0.25">
      <c r="A177" s="3">
        <v>175</v>
      </c>
      <c r="B177" s="19">
        <f t="shared" si="15"/>
        <v>51318</v>
      </c>
      <c r="C177" s="9" t="str">
        <f t="shared" si="16"/>
        <v>Jul</v>
      </c>
      <c r="D177" s="9">
        <f t="shared" si="17"/>
        <v>2040</v>
      </c>
      <c r="E177" s="9" t="str">
        <f>INDEX(Seasons,MATCH($C177,'General Inputs'!$B$20:$B$31,0),1)</f>
        <v>Summer</v>
      </c>
      <c r="F177" s="22">
        <f>'Elec Futures'!H177</f>
        <v>0</v>
      </c>
      <c r="G177" s="22">
        <f>'Elec Futures'!I177</f>
        <v>0</v>
      </c>
      <c r="H177" s="131"/>
      <c r="I177" s="22">
        <f>IFERROR('NG Futures'!$I183*HR_Low_Plant/1000,"Data Missing")</f>
        <v>37.54193538643149</v>
      </c>
      <c r="J177" s="22">
        <f>IFERROR('NG Futures'!$I183*HR_High_Plant/1000,"Data Missing")</f>
        <v>25.853902193593257</v>
      </c>
      <c r="K177" s="131"/>
      <c r="L177" s="22">
        <f ca="1">IFERROR(INDEX(Spark_Spread_On,MATCH($C177,Adjustments!$H$3:$H$14,0),1)+IF(INDEX(Spark_Spread_On,MATCH($C177,Adjustments!$H$3:$H$14,0),1)&gt;1,INDEX(Spark_Spread_On,MATCH($C177,Adjustments!$H$3:$H$14,0),1)*(Inflation_Rate+BLS_Esc_Rate),-INDEX(Spark_Spread_On,MATCH($C177,Adjustments!$H$3:$H$14,0),1)*(Inflation_Rate+BLS_Esc_Rate)),"Data Missing")</f>
        <v>60.778479645687867</v>
      </c>
      <c r="M177" s="22">
        <f ca="1">IFERROR(INDEX(Spark_Spread_Off,MATCH($C177,Adjustments!$H$3:$H$14,0),1)+IF(INDEX(Spark_Spread_Off,MATCH($C177,Adjustments!$H$3:$H$14,0),1)&gt;1,INDEX(Spark_Spread_Off,MATCH($C177,Adjustments!$H$3:$H$14,0),1)*(Inflation_Rate+BLS_Esc_Rate),-INDEX(Spark_Spread_Off,MATCH($C177,Adjustments!$H$3:$H$14,0),1)*(Inflation_Rate+BLS_Esc_Rate)),"Data Missing")</f>
        <v>23.644134063075864</v>
      </c>
      <c r="N177" s="131"/>
      <c r="O177" s="24">
        <f t="shared" ca="1" si="14"/>
        <v>98.320415032119357</v>
      </c>
      <c r="P177" s="24">
        <f t="shared" ca="1" si="18"/>
        <v>49.498036256669124</v>
      </c>
    </row>
    <row r="178" spans="1:16" x14ac:dyDescent="0.25">
      <c r="A178" s="3">
        <v>176</v>
      </c>
      <c r="B178" s="19">
        <f t="shared" si="15"/>
        <v>51349</v>
      </c>
      <c r="C178" s="9" t="str">
        <f t="shared" si="16"/>
        <v>Aug</v>
      </c>
      <c r="D178" s="9">
        <f t="shared" si="17"/>
        <v>2040</v>
      </c>
      <c r="E178" s="9" t="str">
        <f>INDEX(Seasons,MATCH($C178,'General Inputs'!$B$20:$B$31,0),1)</f>
        <v>Summer</v>
      </c>
      <c r="F178" s="22">
        <f>'Elec Futures'!H178</f>
        <v>0</v>
      </c>
      <c r="G178" s="22">
        <f>'Elec Futures'!I178</f>
        <v>0</v>
      </c>
      <c r="H178" s="131"/>
      <c r="I178" s="22">
        <f>IFERROR('NG Futures'!$I184*HR_Low_Plant/1000,"Data Missing")</f>
        <v>38.127176554711575</v>
      </c>
      <c r="J178" s="22">
        <f>IFERROR('NG Futures'!$I184*HR_High_Plant/1000,"Data Missing")</f>
        <v>26.256938631875709</v>
      </c>
      <c r="K178" s="131"/>
      <c r="L178" s="22">
        <f ca="1">IFERROR(INDEX(Spark_Spread_On,MATCH($C178,Adjustments!$H$3:$H$14,0),1)+IF(INDEX(Spark_Spread_On,MATCH($C178,Adjustments!$H$3:$H$14,0),1)&gt;1,INDEX(Spark_Spread_On,MATCH($C178,Adjustments!$H$3:$H$14,0),1)*(Inflation_Rate+BLS_Esc_Rate),-INDEX(Spark_Spread_On,MATCH($C178,Adjustments!$H$3:$H$14,0),1)*(Inflation_Rate+BLS_Esc_Rate)),"Data Missing")</f>
        <v>48.689674403055982</v>
      </c>
      <c r="M178" s="22">
        <f ca="1">IFERROR(INDEX(Spark_Spread_Off,MATCH($C178,Adjustments!$H$3:$H$14,0),1)+IF(INDEX(Spark_Spread_Off,MATCH($C178,Adjustments!$H$3:$H$14,0),1)&gt;1,INDEX(Spark_Spread_Off,MATCH($C178,Adjustments!$H$3:$H$14,0),1)*(Inflation_Rate+BLS_Esc_Rate),-INDEX(Spark_Spread_Off,MATCH($C178,Adjustments!$H$3:$H$14,0),1)*(Inflation_Rate+BLS_Esc_Rate)),"Data Missing")</f>
        <v>19.08142511960634</v>
      </c>
      <c r="N178" s="131"/>
      <c r="O178" s="24">
        <f t="shared" ca="1" si="14"/>
        <v>86.816850957767556</v>
      </c>
      <c r="P178" s="24">
        <f t="shared" ca="1" si="18"/>
        <v>45.338363751482049</v>
      </c>
    </row>
    <row r="179" spans="1:16" x14ac:dyDescent="0.25">
      <c r="A179" s="3">
        <v>177</v>
      </c>
      <c r="B179" s="19">
        <f t="shared" si="15"/>
        <v>51380</v>
      </c>
      <c r="C179" s="9" t="str">
        <f t="shared" si="16"/>
        <v>Sep</v>
      </c>
      <c r="D179" s="9">
        <f t="shared" si="17"/>
        <v>2040</v>
      </c>
      <c r="E179" s="9" t="str">
        <f>INDEX(Seasons,MATCH($C179,'General Inputs'!$B$20:$B$31,0),1)</f>
        <v>Summer</v>
      </c>
      <c r="F179" s="22">
        <f>'Elec Futures'!H179</f>
        <v>0</v>
      </c>
      <c r="G179" s="22">
        <f>'Elec Futures'!I179</f>
        <v>0</v>
      </c>
      <c r="H179" s="131"/>
      <c r="I179" s="22">
        <f>IFERROR('NG Futures'!$I185*HR_Low_Plant/1000,"Data Missing")</f>
        <v>32.596796017148563</v>
      </c>
      <c r="J179" s="22">
        <f>IFERROR('NG Futures'!$I185*HR_High_Plant/1000,"Data Missing")</f>
        <v>22.448346559044474</v>
      </c>
      <c r="K179" s="131"/>
      <c r="L179" s="22">
        <f ca="1">IFERROR(INDEX(Spark_Spread_On,MATCH($C179,Adjustments!$H$3:$H$14,0),1)+IF(INDEX(Spark_Spread_On,MATCH($C179,Adjustments!$H$3:$H$14,0),1)&gt;1,INDEX(Spark_Spread_On,MATCH($C179,Adjustments!$H$3:$H$14,0),1)*(Inflation_Rate+BLS_Esc_Rate),-INDEX(Spark_Spread_On,MATCH($C179,Adjustments!$H$3:$H$14,0),1)*(Inflation_Rate+BLS_Esc_Rate)),"Data Missing")</f>
        <v>33.852941430998882</v>
      </c>
      <c r="M179" s="22">
        <f ca="1">IFERROR(INDEX(Spark_Spread_Off,MATCH($C179,Adjustments!$H$3:$H$14,0),1)+IF(INDEX(Spark_Spread_Off,MATCH($C179,Adjustments!$H$3:$H$14,0),1)&gt;1,INDEX(Spark_Spread_Off,MATCH($C179,Adjustments!$H$3:$H$14,0),1)*(Inflation_Rate+BLS_Esc_Rate),-INDEX(Spark_Spread_Off,MATCH($C179,Adjustments!$H$3:$H$14,0),1)*(Inflation_Rate+BLS_Esc_Rate)),"Data Missing")</f>
        <v>17.63955138931739</v>
      </c>
      <c r="N179" s="131"/>
      <c r="O179" s="24">
        <f t="shared" ca="1" si="14"/>
        <v>66.449737448147445</v>
      </c>
      <c r="P179" s="24">
        <f t="shared" ca="1" si="18"/>
        <v>40.087897948361864</v>
      </c>
    </row>
    <row r="180" spans="1:16" x14ac:dyDescent="0.25">
      <c r="A180" s="3">
        <v>178</v>
      </c>
      <c r="B180" s="19">
        <f t="shared" si="15"/>
        <v>51410</v>
      </c>
      <c r="C180" s="9" t="str">
        <f t="shared" si="16"/>
        <v>Oct</v>
      </c>
      <c r="D180" s="9">
        <f t="shared" si="17"/>
        <v>2040</v>
      </c>
      <c r="E180" s="9" t="str">
        <f>INDEX(Seasons,MATCH($C180,'General Inputs'!$B$20:$B$31,0),1)</f>
        <v>Shoulder</v>
      </c>
      <c r="F180" s="22">
        <f>'Elec Futures'!H180</f>
        <v>0</v>
      </c>
      <c r="G180" s="22">
        <f>'Elec Futures'!I180</f>
        <v>0</v>
      </c>
      <c r="H180" s="131"/>
      <c r="I180" s="22">
        <f>IFERROR('NG Futures'!$I186*HR_Low_Plant/1000,"Data Missing")</f>
        <v>33.210191185356116</v>
      </c>
      <c r="J180" s="22">
        <f>IFERROR('NG Futures'!$I186*HR_High_Plant/1000,"Data Missing")</f>
        <v>22.870771735626931</v>
      </c>
      <c r="K180" s="131"/>
      <c r="L180" s="22">
        <f ca="1">IFERROR(INDEX(Spark_Spread_On,MATCH($C180,Adjustments!$H$3:$H$14,0),1)+IF(INDEX(Spark_Spread_On,MATCH($C180,Adjustments!$H$3:$H$14,0),1)&gt;1,INDEX(Spark_Spread_On,MATCH($C180,Adjustments!$H$3:$H$14,0),1)*(Inflation_Rate+BLS_Esc_Rate),-INDEX(Spark_Spread_On,MATCH($C180,Adjustments!$H$3:$H$14,0),1)*(Inflation_Rate+BLS_Esc_Rate)),"Data Missing")</f>
        <v>29.40002941858754</v>
      </c>
      <c r="M180" s="22">
        <f ca="1">IFERROR(INDEX(Spark_Spread_Off,MATCH($C180,Adjustments!$H$3:$H$14,0),1)+IF(INDEX(Spark_Spread_Off,MATCH($C180,Adjustments!$H$3:$H$14,0),1)&gt;1,INDEX(Spark_Spread_Off,MATCH($C180,Adjustments!$H$3:$H$14,0),1)*(Inflation_Rate+BLS_Esc_Rate),-INDEX(Spark_Spread_Off,MATCH($C180,Adjustments!$H$3:$H$14,0),1)*(Inflation_Rate+BLS_Esc_Rate)),"Data Missing")</f>
        <v>20.150009298264372</v>
      </c>
      <c r="N180" s="131"/>
      <c r="O180" s="24">
        <f t="shared" ca="1" si="14"/>
        <v>62.61022060394366</v>
      </c>
      <c r="P180" s="24">
        <f t="shared" ca="1" si="18"/>
        <v>43.020781033891303</v>
      </c>
    </row>
    <row r="181" spans="1:16" x14ac:dyDescent="0.25">
      <c r="A181" s="3">
        <v>179</v>
      </c>
      <c r="B181" s="19">
        <f t="shared" si="15"/>
        <v>51441</v>
      </c>
      <c r="C181" s="9" t="str">
        <f t="shared" si="16"/>
        <v>Nov</v>
      </c>
      <c r="D181" s="9">
        <f t="shared" si="17"/>
        <v>2040</v>
      </c>
      <c r="E181" s="9" t="str">
        <f>INDEX(Seasons,MATCH($C181,'General Inputs'!$B$20:$B$31,0),1)</f>
        <v>Shoulder</v>
      </c>
      <c r="F181" s="22">
        <f>'Elec Futures'!H181</f>
        <v>0</v>
      </c>
      <c r="G181" s="22">
        <f>'Elec Futures'!I181</f>
        <v>0</v>
      </c>
      <c r="H181" s="131"/>
      <c r="I181" s="22">
        <f>IFERROR('NG Futures'!$I187*HR_Low_Plant/1000,"Data Missing")</f>
        <v>43.333698221698178</v>
      </c>
      <c r="J181" s="22">
        <f>IFERROR('NG Futures'!$I187*HR_High_Plant/1000,"Data Missing")</f>
        <v>29.842499700092414</v>
      </c>
      <c r="K181" s="131"/>
      <c r="L181" s="22">
        <f ca="1">IFERROR(INDEX(Spark_Spread_On,MATCH($C181,Adjustments!$H$3:$H$14,0),1)+IF(INDEX(Spark_Spread_On,MATCH($C181,Adjustments!$H$3:$H$14,0),1)&gt;1,INDEX(Spark_Spread_On,MATCH($C181,Adjustments!$H$3:$H$14,0),1)*(Inflation_Rate+BLS_Esc_Rate),-INDEX(Spark_Spread_On,MATCH($C181,Adjustments!$H$3:$H$14,0),1)*(Inflation_Rate+BLS_Esc_Rate)),"Data Missing")</f>
        <v>22.485829134622783</v>
      </c>
      <c r="M181" s="22">
        <f ca="1">IFERROR(INDEX(Spark_Spread_Off,MATCH($C181,Adjustments!$H$3:$H$14,0),1)+IF(INDEX(Spark_Spread_Off,MATCH($C181,Adjustments!$H$3:$H$14,0),1)&gt;1,INDEX(Spark_Spread_Off,MATCH($C181,Adjustments!$H$3:$H$14,0),1)*(Inflation_Rate+BLS_Esc_Rate),-INDEX(Spark_Spread_Off,MATCH($C181,Adjustments!$H$3:$H$14,0),1)*(Inflation_Rate+BLS_Esc_Rate)),"Data Missing")</f>
        <v>20.092402274981513</v>
      </c>
      <c r="N181" s="131"/>
      <c r="O181" s="24">
        <f t="shared" ca="1" si="14"/>
        <v>65.819527356320961</v>
      </c>
      <c r="P181" s="24">
        <f t="shared" ca="1" si="18"/>
        <v>49.934901975073927</v>
      </c>
    </row>
    <row r="182" spans="1:16" x14ac:dyDescent="0.25">
      <c r="A182" s="3">
        <v>180</v>
      </c>
      <c r="B182" s="19">
        <f t="shared" si="15"/>
        <v>51471</v>
      </c>
      <c r="C182" s="9" t="str">
        <f t="shared" si="16"/>
        <v>Dec</v>
      </c>
      <c r="D182" s="9">
        <f t="shared" si="17"/>
        <v>2040</v>
      </c>
      <c r="E182" s="9" t="str">
        <f>INDEX(Seasons,MATCH($C182,'General Inputs'!$B$20:$B$31,0),1)</f>
        <v>Winter</v>
      </c>
      <c r="F182" s="22">
        <f>'Elec Futures'!H182</f>
        <v>0</v>
      </c>
      <c r="G182" s="22">
        <f>'Elec Futures'!I182</f>
        <v>0</v>
      </c>
      <c r="H182" s="131"/>
      <c r="I182" s="22">
        <f>IFERROR('NG Futures'!$I188*HR_Low_Plant/1000,"Data Missing")</f>
        <v>70.707540618094725</v>
      </c>
      <c r="J182" s="22">
        <f>IFERROR('NG Futures'!$I188*HR_High_Plant/1000,"Data Missing")</f>
        <v>48.693969042162067</v>
      </c>
      <c r="K182" s="131"/>
      <c r="L182" s="22">
        <f ca="1">IFERROR(INDEX(Spark_Spread_On,MATCH($C182,Adjustments!$H$3:$H$14,0),1)+IF(INDEX(Spark_Spread_On,MATCH($C182,Adjustments!$H$3:$H$14,0),1)&gt;1,INDEX(Spark_Spread_On,MATCH($C182,Adjustments!$H$3:$H$14,0),1)*(Inflation_Rate+BLS_Esc_Rate),-INDEX(Spark_Spread_On,MATCH($C182,Adjustments!$H$3:$H$14,0),1)*(Inflation_Rate+BLS_Esc_Rate)),"Data Missing")</f>
        <v>11.430346668590539</v>
      </c>
      <c r="M182" s="22">
        <f ca="1">IFERROR(INDEX(Spark_Spread_Off,MATCH($C182,Adjustments!$H$3:$H$14,0),1)+IF(INDEX(Spark_Spread_Off,MATCH($C182,Adjustments!$H$3:$H$14,0),1)&gt;1,INDEX(Spark_Spread_Off,MATCH($C182,Adjustments!$H$3:$H$14,0),1)*(Inflation_Rate+BLS_Esc_Rate),-INDEX(Spark_Spread_Off,MATCH($C182,Adjustments!$H$3:$H$14,0),1)*(Inflation_Rate+BLS_Esc_Rate)),"Data Missing")</f>
        <v>16.391451942721986</v>
      </c>
      <c r="N182" s="131"/>
      <c r="O182" s="24">
        <f t="shared" ca="1" si="14"/>
        <v>82.13788728668527</v>
      </c>
      <c r="P182" s="24">
        <f t="shared" ca="1" si="18"/>
        <v>65.085420984884053</v>
      </c>
    </row>
    <row r="183" spans="1:16" x14ac:dyDescent="0.25">
      <c r="A183" s="3">
        <v>181</v>
      </c>
      <c r="B183" s="19">
        <f t="shared" si="15"/>
        <v>51502</v>
      </c>
      <c r="C183" s="9" t="str">
        <f t="shared" si="16"/>
        <v>Jan</v>
      </c>
      <c r="D183" s="9">
        <f t="shared" si="17"/>
        <v>2041</v>
      </c>
      <c r="E183" s="9" t="str">
        <f>INDEX(Seasons,MATCH($C183,'General Inputs'!$B$20:$B$31,0),1)</f>
        <v>Winter</v>
      </c>
      <c r="F183" s="22">
        <f>'Elec Futures'!H183</f>
        <v>0</v>
      </c>
      <c r="G183" s="22">
        <f>'Elec Futures'!I183</f>
        <v>0</v>
      </c>
      <c r="H183" s="131"/>
      <c r="I183" s="22">
        <f>IFERROR('NG Futures'!$I189*HR_Low_Plant/1000,"Data Missing")</f>
        <v>105.17564505407022</v>
      </c>
      <c r="J183" s="22">
        <f>IFERROR('NG Futures'!$I189*HR_High_Plant/1000,"Data Missing")</f>
        <v>72.431024463347001</v>
      </c>
      <c r="K183" s="131"/>
      <c r="L183" s="22">
        <f ca="1">IFERROR(INDEX(Spark_Spread_On,MATCH($C183,Adjustments!$H$3:$H$14,0),1)+IF(INDEX(Spark_Spread_On,MATCH($C183,Adjustments!$H$3:$H$14,0),1)&gt;1,INDEX(Spark_Spread_On,MATCH($C183,Adjustments!$H$3:$H$14,0),1)*(Inflation_Rate+BLS_Esc_Rate),-INDEX(Spark_Spread_On,MATCH($C183,Adjustments!$H$3:$H$14,0),1)*(Inflation_Rate+BLS_Esc_Rate)),"Data Missing")</f>
        <v>5.8685378940686794</v>
      </c>
      <c r="M183" s="22">
        <f ca="1">IFERROR(INDEX(Spark_Spread_Off,MATCH($C183,Adjustments!$H$3:$H$14,0),1)+IF(INDEX(Spark_Spread_Off,MATCH($C183,Adjustments!$H$3:$H$14,0),1)&gt;1,INDEX(Spark_Spread_Off,MATCH($C183,Adjustments!$H$3:$H$14,0),1)*(Inflation_Rate+BLS_Esc_Rate),-INDEX(Spark_Spread_Off,MATCH($C183,Adjustments!$H$3:$H$14,0),1)*(Inflation_Rate+BLS_Esc_Rate)),"Data Missing")</f>
        <v>16.761915371452087</v>
      </c>
      <c r="N183" s="131"/>
      <c r="O183" s="24">
        <f t="shared" ca="1" si="14"/>
        <v>111.0441829481389</v>
      </c>
      <c r="P183" s="24">
        <f t="shared" ca="1" si="18"/>
        <v>89.192939834799091</v>
      </c>
    </row>
    <row r="184" spans="1:16" x14ac:dyDescent="0.25">
      <c r="A184" s="3">
        <v>182</v>
      </c>
      <c r="B184" s="19">
        <f t="shared" si="15"/>
        <v>51533</v>
      </c>
      <c r="C184" s="9" t="str">
        <f t="shared" si="16"/>
        <v>Feb</v>
      </c>
      <c r="D184" s="9">
        <f t="shared" si="17"/>
        <v>2041</v>
      </c>
      <c r="E184" s="9" t="str">
        <f>INDEX(Seasons,MATCH($C184,'General Inputs'!$B$20:$B$31,0),1)</f>
        <v>Winter</v>
      </c>
      <c r="F184" s="22">
        <f>'Elec Futures'!H184</f>
        <v>0</v>
      </c>
      <c r="G184" s="22">
        <f>'Elec Futures'!I184</f>
        <v>0</v>
      </c>
      <c r="H184" s="131"/>
      <c r="I184" s="22">
        <f>IFERROR('NG Futures'!$I190*HR_Low_Plant/1000,"Data Missing")</f>
        <v>92.64478457760211</v>
      </c>
      <c r="J184" s="22">
        <f>IFERROR('NG Futures'!$I190*HR_High_Plant/1000,"Data Missing")</f>
        <v>63.801430974747561</v>
      </c>
      <c r="K184" s="131"/>
      <c r="L184" s="22">
        <f ca="1">IFERROR(INDEX(Spark_Spread_On,MATCH($C184,Adjustments!$H$3:$H$14,0),1)+IF(INDEX(Spark_Spread_On,MATCH($C184,Adjustments!$H$3:$H$14,0),1)&gt;1,INDEX(Spark_Spread_On,MATCH($C184,Adjustments!$H$3:$H$14,0),1)*(Inflation_Rate+BLS_Esc_Rate),-INDEX(Spark_Spread_On,MATCH($C184,Adjustments!$H$3:$H$14,0),1)*(Inflation_Rate+BLS_Esc_Rate)),"Data Missing")</f>
        <v>5.7233949711767895</v>
      </c>
      <c r="M184" s="22">
        <f ca="1">IFERROR(INDEX(Spark_Spread_Off,MATCH($C184,Adjustments!$H$3:$H$14,0),1)+IF(INDEX(Spark_Spread_Off,MATCH($C184,Adjustments!$H$3:$H$14,0),1)&gt;1,INDEX(Spark_Spread_Off,MATCH($C184,Adjustments!$H$3:$H$14,0),1)*(Inflation_Rate+BLS_Esc_Rate),-INDEX(Spark_Spread_Off,MATCH($C184,Adjustments!$H$3:$H$14,0),1)*(Inflation_Rate+BLS_Esc_Rate)),"Data Missing")</f>
        <v>15.231728502085021</v>
      </c>
      <c r="N184" s="131"/>
      <c r="O184" s="24">
        <f t="shared" ca="1" si="14"/>
        <v>98.368179548778897</v>
      </c>
      <c r="P184" s="24">
        <f t="shared" ca="1" si="18"/>
        <v>79.03315947683258</v>
      </c>
    </row>
    <row r="185" spans="1:16" x14ac:dyDescent="0.25">
      <c r="A185" s="3">
        <v>183</v>
      </c>
      <c r="B185" s="19">
        <f t="shared" si="15"/>
        <v>51561</v>
      </c>
      <c r="C185" s="9" t="str">
        <f t="shared" si="16"/>
        <v>Mar</v>
      </c>
      <c r="D185" s="9">
        <f t="shared" si="17"/>
        <v>2041</v>
      </c>
      <c r="E185" s="9" t="str">
        <f>INDEX(Seasons,MATCH($C185,'General Inputs'!$B$20:$B$31,0),1)</f>
        <v>Shoulder</v>
      </c>
      <c r="F185" s="22">
        <f>'Elec Futures'!H185</f>
        <v>0</v>
      </c>
      <c r="G185" s="22">
        <f>'Elec Futures'!I185</f>
        <v>0</v>
      </c>
      <c r="H185" s="131"/>
      <c r="I185" s="22">
        <f>IFERROR('NG Futures'!$I191*HR_Low_Plant/1000,"Data Missing")</f>
        <v>50.488249255221426</v>
      </c>
      <c r="J185" s="22">
        <f>IFERROR('NG Futures'!$I191*HR_High_Plant/1000,"Data Missing")</f>
        <v>34.769604836143422</v>
      </c>
      <c r="K185" s="131"/>
      <c r="L185" s="22">
        <f ca="1">IFERROR(INDEX(Spark_Spread_On,MATCH($C185,Adjustments!$H$3:$H$14,0),1)+IF(INDEX(Spark_Spread_On,MATCH($C185,Adjustments!$H$3:$H$14,0),1)&gt;1,INDEX(Spark_Spread_On,MATCH($C185,Adjustments!$H$3:$H$14,0),1)*(Inflation_Rate+BLS_Esc_Rate),-INDEX(Spark_Spread_On,MATCH($C185,Adjustments!$H$3:$H$14,0),1)*(Inflation_Rate+BLS_Esc_Rate)),"Data Missing")</f>
        <v>16.528539996336317</v>
      </c>
      <c r="M185" s="22">
        <f ca="1">IFERROR(INDEX(Spark_Spread_Off,MATCH($C185,Adjustments!$H$3:$H$14,0),1)+IF(INDEX(Spark_Spread_Off,MATCH($C185,Adjustments!$H$3:$H$14,0),1)&gt;1,INDEX(Spark_Spread_Off,MATCH($C185,Adjustments!$H$3:$H$14,0),1)*(Inflation_Rate+BLS_Esc_Rate),-INDEX(Spark_Spread_Off,MATCH($C185,Adjustments!$H$3:$H$14,0),1)*(Inflation_Rate+BLS_Esc_Rate)),"Data Missing")</f>
        <v>18.910646100880385</v>
      </c>
      <c r="N185" s="131"/>
      <c r="O185" s="24">
        <f t="shared" ca="1" si="14"/>
        <v>67.016789251557739</v>
      </c>
      <c r="P185" s="24">
        <f t="shared" ca="1" si="18"/>
        <v>53.680250937023807</v>
      </c>
    </row>
    <row r="186" spans="1:16" x14ac:dyDescent="0.25">
      <c r="A186" s="3">
        <v>184</v>
      </c>
      <c r="B186" s="19">
        <f t="shared" si="15"/>
        <v>51592</v>
      </c>
      <c r="C186" s="9" t="str">
        <f t="shared" si="16"/>
        <v>Apr</v>
      </c>
      <c r="D186" s="9">
        <f t="shared" si="17"/>
        <v>2041</v>
      </c>
      <c r="E186" s="9" t="str">
        <f>INDEX(Seasons,MATCH($C186,'General Inputs'!$B$20:$B$31,0),1)</f>
        <v>Shoulder</v>
      </c>
      <c r="F186" s="22">
        <f>'Elec Futures'!H186</f>
        <v>0</v>
      </c>
      <c r="G186" s="22">
        <f>'Elec Futures'!I186</f>
        <v>0</v>
      </c>
      <c r="H186" s="131"/>
      <c r="I186" s="22">
        <f>IFERROR('NG Futures'!$I192*HR_Low_Plant/1000,"Data Missing")</f>
        <v>41.446611517390103</v>
      </c>
      <c r="J186" s="22">
        <f>IFERROR('NG Futures'!$I192*HR_High_Plant/1000,"Data Missing")</f>
        <v>28.542924849147347</v>
      </c>
      <c r="K186" s="131"/>
      <c r="L186" s="22">
        <f ca="1">IFERROR(INDEX(Spark_Spread_On,MATCH($C186,Adjustments!$H$3:$H$14,0),1)+IF(INDEX(Spark_Spread_On,MATCH($C186,Adjustments!$H$3:$H$14,0),1)&gt;1,INDEX(Spark_Spread_On,MATCH($C186,Adjustments!$H$3:$H$14,0),1)*(Inflation_Rate+BLS_Esc_Rate),-INDEX(Spark_Spread_On,MATCH($C186,Adjustments!$H$3:$H$14,0),1)*(Inflation_Rate+BLS_Esc_Rate)),"Data Missing")</f>
        <v>22.38036101423787</v>
      </c>
      <c r="M186" s="22">
        <f ca="1">IFERROR(INDEX(Spark_Spread_Off,MATCH($C186,Adjustments!$H$3:$H$14,0),1)+IF(INDEX(Spark_Spread_Off,MATCH($C186,Adjustments!$H$3:$H$14,0),1)&gt;1,INDEX(Spark_Spread_Off,MATCH($C186,Adjustments!$H$3:$H$14,0),1)*(Inflation_Rate+BLS_Esc_Rate),-INDEX(Spark_Spread_Off,MATCH($C186,Adjustments!$H$3:$H$14,0),1)*(Inflation_Rate+BLS_Esc_Rate)),"Data Missing")</f>
        <v>18.258127438419208</v>
      </c>
      <c r="N186" s="131"/>
      <c r="O186" s="24">
        <f t="shared" ca="1" si="14"/>
        <v>63.826972531627973</v>
      </c>
      <c r="P186" s="24">
        <f t="shared" ca="1" si="18"/>
        <v>46.801052287566556</v>
      </c>
    </row>
    <row r="187" spans="1:16" x14ac:dyDescent="0.25">
      <c r="A187" s="3">
        <v>185</v>
      </c>
      <c r="B187" s="19">
        <f t="shared" si="15"/>
        <v>51622</v>
      </c>
      <c r="C187" s="9" t="str">
        <f t="shared" si="16"/>
        <v>May</v>
      </c>
      <c r="D187" s="9">
        <f t="shared" si="17"/>
        <v>2041</v>
      </c>
      <c r="E187" s="9" t="str">
        <f>INDEX(Seasons,MATCH($C187,'General Inputs'!$B$20:$B$31,0),1)</f>
        <v>Summer</v>
      </c>
      <c r="F187" s="22">
        <f>'Elec Futures'!H187</f>
        <v>0</v>
      </c>
      <c r="G187" s="22">
        <f>'Elec Futures'!I187</f>
        <v>0</v>
      </c>
      <c r="H187" s="131"/>
      <c r="I187" s="22">
        <f>IFERROR('NG Futures'!$I193*HR_Low_Plant/1000,"Data Missing")</f>
        <v>36.725293658956488</v>
      </c>
      <c r="J187" s="22">
        <f>IFERROR('NG Futures'!$I193*HR_High_Plant/1000,"Data Missing")</f>
        <v>25.291507763683903</v>
      </c>
      <c r="K187" s="131"/>
      <c r="L187" s="22">
        <f ca="1">IFERROR(INDEX(Spark_Spread_On,MATCH($C187,Adjustments!$H$3:$H$14,0),1)+IF(INDEX(Spark_Spread_On,MATCH($C187,Adjustments!$H$3:$H$14,0),1)&gt;1,INDEX(Spark_Spread_On,MATCH($C187,Adjustments!$H$3:$H$14,0),1)*(Inflation_Rate+BLS_Esc_Rate),-INDEX(Spark_Spread_On,MATCH($C187,Adjustments!$H$3:$H$14,0),1)*(Inflation_Rate+BLS_Esc_Rate)),"Data Missing")</f>
        <v>26.985629754035614</v>
      </c>
      <c r="M187" s="22">
        <f ca="1">IFERROR(INDEX(Spark_Spread_Off,MATCH($C187,Adjustments!$H$3:$H$14,0),1)+IF(INDEX(Spark_Spread_Off,MATCH($C187,Adjustments!$H$3:$H$14,0),1)&gt;1,INDEX(Spark_Spread_Off,MATCH($C187,Adjustments!$H$3:$H$14,0),1)*(Inflation_Rate+BLS_Esc_Rate),-INDEX(Spark_Spread_Off,MATCH($C187,Adjustments!$H$3:$H$14,0),1)*(Inflation_Rate+BLS_Esc_Rate)),"Data Missing")</f>
        <v>16.780298980176973</v>
      </c>
      <c r="N187" s="131"/>
      <c r="O187" s="24">
        <f t="shared" ca="1" si="14"/>
        <v>63.710923412992102</v>
      </c>
      <c r="P187" s="24">
        <f t="shared" ca="1" si="18"/>
        <v>42.071806743860876</v>
      </c>
    </row>
    <row r="188" spans="1:16" x14ac:dyDescent="0.25">
      <c r="A188" s="3">
        <v>186</v>
      </c>
      <c r="B188" s="19">
        <f t="shared" si="15"/>
        <v>51653</v>
      </c>
      <c r="C188" s="9" t="str">
        <f t="shared" si="16"/>
        <v>Jun</v>
      </c>
      <c r="D188" s="9">
        <f t="shared" si="17"/>
        <v>2041</v>
      </c>
      <c r="E188" s="9" t="str">
        <f>INDEX(Seasons,MATCH($C188,'General Inputs'!$B$20:$B$31,0),1)</f>
        <v>Summer</v>
      </c>
      <c r="F188" s="22">
        <f>'Elec Futures'!H188</f>
        <v>0</v>
      </c>
      <c r="G188" s="22">
        <f>'Elec Futures'!I188</f>
        <v>0</v>
      </c>
      <c r="H188" s="131"/>
      <c r="I188" s="22">
        <f>IFERROR('NG Futures'!$I194*HR_Low_Plant/1000,"Data Missing")</f>
        <v>37.042686931836904</v>
      </c>
      <c r="J188" s="22">
        <f>IFERROR('NG Futures'!$I194*HR_High_Plant/1000,"Data Missing")</f>
        <v>25.51008612277726</v>
      </c>
      <c r="K188" s="131"/>
      <c r="L188" s="22">
        <f ca="1">IFERROR(INDEX(Spark_Spread_On,MATCH($C188,Adjustments!$H$3:$H$14,0),1)+IF(INDEX(Spark_Spread_On,MATCH($C188,Adjustments!$H$3:$H$14,0),1)&gt;1,INDEX(Spark_Spread_On,MATCH($C188,Adjustments!$H$3:$H$14,0),1)*(Inflation_Rate+BLS_Esc_Rate),-INDEX(Spark_Spread_On,MATCH($C188,Adjustments!$H$3:$H$14,0),1)*(Inflation_Rate+BLS_Esc_Rate)),"Data Missing")</f>
        <v>32.794481155748485</v>
      </c>
      <c r="M188" s="22">
        <f ca="1">IFERROR(INDEX(Spark_Spread_Off,MATCH($C188,Adjustments!$H$3:$H$14,0),1)+IF(INDEX(Spark_Spread_Off,MATCH($C188,Adjustments!$H$3:$H$14,0),1)&gt;1,INDEX(Spark_Spread_Off,MATCH($C188,Adjustments!$H$3:$H$14,0),1)*(Inflation_Rate+BLS_Esc_Rate),-INDEX(Spark_Spread_Off,MATCH($C188,Adjustments!$H$3:$H$14,0),1)*(Inflation_Rate+BLS_Esc_Rate)),"Data Missing")</f>
        <v>16.358897919725173</v>
      </c>
      <c r="N188" s="131"/>
      <c r="O188" s="24">
        <f t="shared" ca="1" si="14"/>
        <v>69.837168087585383</v>
      </c>
      <c r="P188" s="24">
        <f t="shared" ca="1" si="18"/>
        <v>41.868984042502433</v>
      </c>
    </row>
    <row r="189" spans="1:16" x14ac:dyDescent="0.25">
      <c r="A189" s="3">
        <v>187</v>
      </c>
      <c r="B189" s="19">
        <f t="shared" si="15"/>
        <v>51683</v>
      </c>
      <c r="C189" s="9" t="str">
        <f t="shared" si="16"/>
        <v>Jul</v>
      </c>
      <c r="D189" s="9">
        <f t="shared" si="17"/>
        <v>2041</v>
      </c>
      <c r="E189" s="9" t="str">
        <f>INDEX(Seasons,MATCH($C189,'General Inputs'!$B$20:$B$31,0),1)</f>
        <v>Summer</v>
      </c>
      <c r="F189" s="22">
        <f>'Elec Futures'!H189</f>
        <v>0</v>
      </c>
      <c r="G189" s="22">
        <f>'Elec Futures'!I189</f>
        <v>0</v>
      </c>
      <c r="H189" s="131"/>
      <c r="I189" s="22">
        <f>IFERROR('NG Futures'!$I195*HR_Low_Plant/1000,"Data Missing")</f>
        <v>38.732423080339949</v>
      </c>
      <c r="J189" s="22">
        <f>IFERROR('NG Futures'!$I195*HR_High_Plant/1000,"Data Missing")</f>
        <v>26.673752105010177</v>
      </c>
      <c r="K189" s="131"/>
      <c r="L189" s="22">
        <f ca="1">IFERROR(INDEX(Spark_Spread_On,MATCH($C189,Adjustments!$H$3:$H$14,0),1)+IF(INDEX(Spark_Spread_On,MATCH($C189,Adjustments!$H$3:$H$14,0),1)&gt;1,INDEX(Spark_Spread_On,MATCH($C189,Adjustments!$H$3:$H$14,0),1)*(Inflation_Rate+BLS_Esc_Rate),-INDEX(Spark_Spread_On,MATCH($C189,Adjustments!$H$3:$H$14,0),1)*(Inflation_Rate+BLS_Esc_Rate)),"Data Missing")</f>
        <v>60.778479645687867</v>
      </c>
      <c r="M189" s="22">
        <f ca="1">IFERROR(INDEX(Spark_Spread_Off,MATCH($C189,Adjustments!$H$3:$H$14,0),1)+IF(INDEX(Spark_Spread_Off,MATCH($C189,Adjustments!$H$3:$H$14,0),1)&gt;1,INDEX(Spark_Spread_Off,MATCH($C189,Adjustments!$H$3:$H$14,0),1)*(Inflation_Rate+BLS_Esc_Rate),-INDEX(Spark_Spread_Off,MATCH($C189,Adjustments!$H$3:$H$14,0),1)*(Inflation_Rate+BLS_Esc_Rate)),"Data Missing")</f>
        <v>23.644134063075864</v>
      </c>
      <c r="N189" s="131"/>
      <c r="O189" s="24">
        <f t="shared" ca="1" si="14"/>
        <v>99.510902726027808</v>
      </c>
      <c r="P189" s="24">
        <f t="shared" ca="1" si="18"/>
        <v>50.317886168086041</v>
      </c>
    </row>
    <row r="190" spans="1:16" x14ac:dyDescent="0.25">
      <c r="A190" s="3">
        <v>188</v>
      </c>
      <c r="B190" s="19">
        <f t="shared" si="15"/>
        <v>51714</v>
      </c>
      <c r="C190" s="9" t="str">
        <f t="shared" si="16"/>
        <v>Aug</v>
      </c>
      <c r="D190" s="9">
        <f t="shared" si="17"/>
        <v>2041</v>
      </c>
      <c r="E190" s="9" t="str">
        <f>INDEX(Seasons,MATCH($C190,'General Inputs'!$B$20:$B$31,0),1)</f>
        <v>Summer</v>
      </c>
      <c r="F190" s="22">
        <f>'Elec Futures'!H190</f>
        <v>0</v>
      </c>
      <c r="G190" s="22">
        <f>'Elec Futures'!I190</f>
        <v>0</v>
      </c>
      <c r="H190" s="131"/>
      <c r="I190" s="22">
        <f>IFERROR('NG Futures'!$I196*HR_Low_Plant/1000,"Data Missing")</f>
        <v>39.336222759299737</v>
      </c>
      <c r="J190" s="22">
        <f>IFERROR('NG Futures'!$I196*HR_High_Plant/1000,"Data Missing")</f>
        <v>27.089569182197717</v>
      </c>
      <c r="K190" s="131"/>
      <c r="L190" s="22">
        <f ca="1">IFERROR(INDEX(Spark_Spread_On,MATCH($C190,Adjustments!$H$3:$H$14,0),1)+IF(INDEX(Spark_Spread_On,MATCH($C190,Adjustments!$H$3:$H$14,0),1)&gt;1,INDEX(Spark_Spread_On,MATCH($C190,Adjustments!$H$3:$H$14,0),1)*(Inflation_Rate+BLS_Esc_Rate),-INDEX(Spark_Spread_On,MATCH($C190,Adjustments!$H$3:$H$14,0),1)*(Inflation_Rate+BLS_Esc_Rate)),"Data Missing")</f>
        <v>48.689674403055982</v>
      </c>
      <c r="M190" s="22">
        <f ca="1">IFERROR(INDEX(Spark_Spread_Off,MATCH($C190,Adjustments!$H$3:$H$14,0),1)+IF(INDEX(Spark_Spread_Off,MATCH($C190,Adjustments!$H$3:$H$14,0),1)&gt;1,INDEX(Spark_Spread_Off,MATCH($C190,Adjustments!$H$3:$H$14,0),1)*(Inflation_Rate+BLS_Esc_Rate),-INDEX(Spark_Spread_Off,MATCH($C190,Adjustments!$H$3:$H$14,0),1)*(Inflation_Rate+BLS_Esc_Rate)),"Data Missing")</f>
        <v>19.08142511960634</v>
      </c>
      <c r="N190" s="131"/>
      <c r="O190" s="24">
        <f t="shared" ca="1" si="14"/>
        <v>88.025897162355719</v>
      </c>
      <c r="P190" s="24">
        <f t="shared" ca="1" si="18"/>
        <v>46.170994301804058</v>
      </c>
    </row>
    <row r="191" spans="1:16" x14ac:dyDescent="0.25">
      <c r="A191" s="3">
        <v>189</v>
      </c>
      <c r="B191" s="19">
        <f t="shared" si="15"/>
        <v>51745</v>
      </c>
      <c r="C191" s="9" t="str">
        <f t="shared" si="16"/>
        <v>Sep</v>
      </c>
      <c r="D191" s="9">
        <f t="shared" si="17"/>
        <v>2041</v>
      </c>
      <c r="E191" s="9" t="str">
        <f>INDEX(Seasons,MATCH($C191,'General Inputs'!$B$20:$B$31,0),1)</f>
        <v>Summer</v>
      </c>
      <c r="F191" s="22">
        <f>'Elec Futures'!H191</f>
        <v>0</v>
      </c>
      <c r="G191" s="22">
        <f>'Elec Futures'!I191</f>
        <v>0</v>
      </c>
      <c r="H191" s="131"/>
      <c r="I191" s="22">
        <f>IFERROR('NG Futures'!$I197*HR_Low_Plant/1000,"Data Missing")</f>
        <v>33.630469004963814</v>
      </c>
      <c r="J191" s="22">
        <f>IFERROR('NG Futures'!$I197*HR_High_Plant/1000,"Data Missing")</f>
        <v>23.160203314751143</v>
      </c>
      <c r="K191" s="131"/>
      <c r="L191" s="22">
        <f ca="1">IFERROR(INDEX(Spark_Spread_On,MATCH($C191,Adjustments!$H$3:$H$14,0),1)+IF(INDEX(Spark_Spread_On,MATCH($C191,Adjustments!$H$3:$H$14,0),1)&gt;1,INDEX(Spark_Spread_On,MATCH($C191,Adjustments!$H$3:$H$14,0),1)*(Inflation_Rate+BLS_Esc_Rate),-INDEX(Spark_Spread_On,MATCH($C191,Adjustments!$H$3:$H$14,0),1)*(Inflation_Rate+BLS_Esc_Rate)),"Data Missing")</f>
        <v>33.852941430998882</v>
      </c>
      <c r="M191" s="22">
        <f ca="1">IFERROR(INDEX(Spark_Spread_Off,MATCH($C191,Adjustments!$H$3:$H$14,0),1)+IF(INDEX(Spark_Spread_Off,MATCH($C191,Adjustments!$H$3:$H$14,0),1)&gt;1,INDEX(Spark_Spread_Off,MATCH($C191,Adjustments!$H$3:$H$14,0),1)*(Inflation_Rate+BLS_Esc_Rate),-INDEX(Spark_Spread_Off,MATCH($C191,Adjustments!$H$3:$H$14,0),1)*(Inflation_Rate+BLS_Esc_Rate)),"Data Missing")</f>
        <v>17.63955138931739</v>
      </c>
      <c r="N191" s="131"/>
      <c r="O191" s="24">
        <f t="shared" ca="1" si="14"/>
        <v>67.483410435962696</v>
      </c>
      <c r="P191" s="24">
        <f t="shared" ca="1" si="18"/>
        <v>40.799754704068533</v>
      </c>
    </row>
    <row r="192" spans="1:16" x14ac:dyDescent="0.25">
      <c r="A192" s="3">
        <v>190</v>
      </c>
      <c r="B192" s="19">
        <f t="shared" si="15"/>
        <v>51775</v>
      </c>
      <c r="C192" s="9" t="str">
        <f t="shared" si="16"/>
        <v>Oct</v>
      </c>
      <c r="D192" s="9">
        <f t="shared" si="17"/>
        <v>2041</v>
      </c>
      <c r="E192" s="9" t="str">
        <f>INDEX(Seasons,MATCH($C192,'General Inputs'!$B$20:$B$31,0),1)</f>
        <v>Shoulder</v>
      </c>
      <c r="F192" s="22">
        <f>'Elec Futures'!H192</f>
        <v>0</v>
      </c>
      <c r="G192" s="22">
        <f>'Elec Futures'!I192</f>
        <v>0</v>
      </c>
      <c r="H192" s="131"/>
      <c r="I192" s="22">
        <f>IFERROR('NG Futures'!$I198*HR_Low_Plant/1000,"Data Missing")</f>
        <v>34.263315471878727</v>
      </c>
      <c r="J192" s="22">
        <f>IFERROR('NG Futures'!$I198*HR_High_Plant/1000,"Data Missing")</f>
        <v>23.596023964133344</v>
      </c>
      <c r="K192" s="131"/>
      <c r="L192" s="22">
        <f ca="1">IFERROR(INDEX(Spark_Spread_On,MATCH($C192,Adjustments!$H$3:$H$14,0),1)+IF(INDEX(Spark_Spread_On,MATCH($C192,Adjustments!$H$3:$H$14,0),1)&gt;1,INDEX(Spark_Spread_On,MATCH($C192,Adjustments!$H$3:$H$14,0),1)*(Inflation_Rate+BLS_Esc_Rate),-INDEX(Spark_Spread_On,MATCH($C192,Adjustments!$H$3:$H$14,0),1)*(Inflation_Rate+BLS_Esc_Rate)),"Data Missing")</f>
        <v>29.40002941858754</v>
      </c>
      <c r="M192" s="22">
        <f ca="1">IFERROR(INDEX(Spark_Spread_Off,MATCH($C192,Adjustments!$H$3:$H$14,0),1)+IF(INDEX(Spark_Spread_Off,MATCH($C192,Adjustments!$H$3:$H$14,0),1)&gt;1,INDEX(Spark_Spread_Off,MATCH($C192,Adjustments!$H$3:$H$14,0),1)*(Inflation_Rate+BLS_Esc_Rate),-INDEX(Spark_Spread_Off,MATCH($C192,Adjustments!$H$3:$H$14,0),1)*(Inflation_Rate+BLS_Esc_Rate)),"Data Missing")</f>
        <v>20.150009298264372</v>
      </c>
      <c r="N192" s="131"/>
      <c r="O192" s="24">
        <f t="shared" ref="O192:O255" ca="1" si="19">IFERROR(I192+L192, "Data Missing")</f>
        <v>63.663344890466263</v>
      </c>
      <c r="P192" s="24">
        <f t="shared" ca="1" si="18"/>
        <v>43.746033262397717</v>
      </c>
    </row>
    <row r="193" spans="1:16" x14ac:dyDescent="0.25">
      <c r="A193" s="3">
        <v>191</v>
      </c>
      <c r="B193" s="19">
        <f t="shared" si="15"/>
        <v>51806</v>
      </c>
      <c r="C193" s="9" t="str">
        <f t="shared" si="16"/>
        <v>Nov</v>
      </c>
      <c r="D193" s="9">
        <f t="shared" si="17"/>
        <v>2041</v>
      </c>
      <c r="E193" s="9" t="str">
        <f>INDEX(Seasons,MATCH($C193,'General Inputs'!$B$20:$B$31,0),1)</f>
        <v>Shoulder</v>
      </c>
      <c r="F193" s="22">
        <f>'Elec Futures'!H193</f>
        <v>0</v>
      </c>
      <c r="G193" s="22">
        <f>'Elec Futures'!I193</f>
        <v>0</v>
      </c>
      <c r="H193" s="131"/>
      <c r="I193" s="22">
        <f>IFERROR('NG Futures'!$I199*HR_Low_Plant/1000,"Data Missing")</f>
        <v>44.70784779426176</v>
      </c>
      <c r="J193" s="22">
        <f>IFERROR('NG Futures'!$I199*HR_High_Plant/1000,"Data Missing")</f>
        <v>30.788831536283986</v>
      </c>
      <c r="K193" s="131"/>
      <c r="L193" s="22">
        <f ca="1">IFERROR(INDEX(Spark_Spread_On,MATCH($C193,Adjustments!$H$3:$H$14,0),1)+IF(INDEX(Spark_Spread_On,MATCH($C193,Adjustments!$H$3:$H$14,0),1)&gt;1,INDEX(Spark_Spread_On,MATCH($C193,Adjustments!$H$3:$H$14,0),1)*(Inflation_Rate+BLS_Esc_Rate),-INDEX(Spark_Spread_On,MATCH($C193,Adjustments!$H$3:$H$14,0),1)*(Inflation_Rate+BLS_Esc_Rate)),"Data Missing")</f>
        <v>22.485829134622783</v>
      </c>
      <c r="M193" s="22">
        <f ca="1">IFERROR(INDEX(Spark_Spread_Off,MATCH($C193,Adjustments!$H$3:$H$14,0),1)+IF(INDEX(Spark_Spread_Off,MATCH($C193,Adjustments!$H$3:$H$14,0),1)&gt;1,INDEX(Spark_Spread_Off,MATCH($C193,Adjustments!$H$3:$H$14,0),1)*(Inflation_Rate+BLS_Esc_Rate),-INDEX(Spark_Spread_Off,MATCH($C193,Adjustments!$H$3:$H$14,0),1)*(Inflation_Rate+BLS_Esc_Rate)),"Data Missing")</f>
        <v>20.092402274981513</v>
      </c>
      <c r="N193" s="131"/>
      <c r="O193" s="24">
        <f t="shared" ca="1" si="19"/>
        <v>67.193676928884543</v>
      </c>
      <c r="P193" s="24">
        <f t="shared" ca="1" si="18"/>
        <v>50.881233811265503</v>
      </c>
    </row>
    <row r="194" spans="1:16" x14ac:dyDescent="0.25">
      <c r="A194" s="3">
        <v>192</v>
      </c>
      <c r="B194" s="19">
        <f t="shared" si="15"/>
        <v>51836</v>
      </c>
      <c r="C194" s="9" t="str">
        <f t="shared" si="16"/>
        <v>Dec</v>
      </c>
      <c r="D194" s="9">
        <f t="shared" si="17"/>
        <v>2041</v>
      </c>
      <c r="E194" s="9" t="str">
        <f>INDEX(Seasons,MATCH($C194,'General Inputs'!$B$20:$B$31,0),1)</f>
        <v>Winter</v>
      </c>
      <c r="F194" s="22">
        <f>'Elec Futures'!H194</f>
        <v>0</v>
      </c>
      <c r="G194" s="22">
        <f>'Elec Futures'!I194</f>
        <v>0</v>
      </c>
      <c r="H194" s="131"/>
      <c r="I194" s="22">
        <f>IFERROR('NG Futures'!$I200*HR_Low_Plant/1000,"Data Missing")</f>
        <v>72.949738738834071</v>
      </c>
      <c r="J194" s="22">
        <f>IFERROR('NG Futures'!$I200*HR_High_Plant/1000,"Data Missing")</f>
        <v>50.238097503189813</v>
      </c>
      <c r="K194" s="131"/>
      <c r="L194" s="22">
        <f ca="1">IFERROR(INDEX(Spark_Spread_On,MATCH($C194,Adjustments!$H$3:$H$14,0),1)+IF(INDEX(Spark_Spread_On,MATCH($C194,Adjustments!$H$3:$H$14,0),1)&gt;1,INDEX(Spark_Spread_On,MATCH($C194,Adjustments!$H$3:$H$14,0),1)*(Inflation_Rate+BLS_Esc_Rate),-INDEX(Spark_Spread_On,MATCH($C194,Adjustments!$H$3:$H$14,0),1)*(Inflation_Rate+BLS_Esc_Rate)),"Data Missing")</f>
        <v>11.430346668590539</v>
      </c>
      <c r="M194" s="22">
        <f ca="1">IFERROR(INDEX(Spark_Spread_Off,MATCH($C194,Adjustments!$H$3:$H$14,0),1)+IF(INDEX(Spark_Spread_Off,MATCH($C194,Adjustments!$H$3:$H$14,0),1)&gt;1,INDEX(Spark_Spread_Off,MATCH($C194,Adjustments!$H$3:$H$14,0),1)*(Inflation_Rate+BLS_Esc_Rate),-INDEX(Spark_Spread_Off,MATCH($C194,Adjustments!$H$3:$H$14,0),1)*(Inflation_Rate+BLS_Esc_Rate)),"Data Missing")</f>
        <v>16.391451942721986</v>
      </c>
      <c r="N194" s="131"/>
      <c r="O194" s="24">
        <f t="shared" ca="1" si="19"/>
        <v>84.380085407424616</v>
      </c>
      <c r="P194" s="24">
        <f t="shared" ca="1" si="18"/>
        <v>66.629549445911806</v>
      </c>
    </row>
    <row r="195" spans="1:16" x14ac:dyDescent="0.25">
      <c r="A195" s="3">
        <v>193</v>
      </c>
      <c r="B195" s="19">
        <f t="shared" ref="B195:B258" si="20">DATE(Start_Year-1,A195,1)</f>
        <v>51867</v>
      </c>
      <c r="C195" s="9" t="str">
        <f t="shared" si="16"/>
        <v>Jan</v>
      </c>
      <c r="D195" s="9">
        <f t="shared" si="17"/>
        <v>2042</v>
      </c>
      <c r="E195" s="9" t="str">
        <f>INDEX(Seasons,MATCH($C195,'General Inputs'!$B$20:$B$31,0),1)</f>
        <v>Winter</v>
      </c>
      <c r="F195" s="22">
        <f>'Elec Futures'!H195</f>
        <v>0</v>
      </c>
      <c r="G195" s="22">
        <f>'Elec Futures'!I195</f>
        <v>0</v>
      </c>
      <c r="H195" s="131"/>
      <c r="I195" s="22">
        <f>IFERROR('NG Futures'!$I201*HR_Low_Plant/1000,"Data Missing")</f>
        <v>108.787600574236</v>
      </c>
      <c r="J195" s="22">
        <f>IFERROR('NG Futures'!$I201*HR_High_Plant/1000,"Data Missing")</f>
        <v>74.918460014677848</v>
      </c>
      <c r="K195" s="131"/>
      <c r="L195" s="22">
        <f ca="1">IFERROR(INDEX(Spark_Spread_On,MATCH($C195,Adjustments!$H$3:$H$14,0),1)+IF(INDEX(Spark_Spread_On,MATCH($C195,Adjustments!$H$3:$H$14,0),1)&gt;1,INDEX(Spark_Spread_On,MATCH($C195,Adjustments!$H$3:$H$14,0),1)*(Inflation_Rate+BLS_Esc_Rate),-INDEX(Spark_Spread_On,MATCH($C195,Adjustments!$H$3:$H$14,0),1)*(Inflation_Rate+BLS_Esc_Rate)),"Data Missing")</f>
        <v>5.8685378940686794</v>
      </c>
      <c r="M195" s="22">
        <f ca="1">IFERROR(INDEX(Spark_Spread_Off,MATCH($C195,Adjustments!$H$3:$H$14,0),1)+IF(INDEX(Spark_Spread_Off,MATCH($C195,Adjustments!$H$3:$H$14,0),1)&gt;1,INDEX(Spark_Spread_Off,MATCH($C195,Adjustments!$H$3:$H$14,0),1)*(Inflation_Rate+BLS_Esc_Rate),-INDEX(Spark_Spread_Off,MATCH($C195,Adjustments!$H$3:$H$14,0),1)*(Inflation_Rate+BLS_Esc_Rate)),"Data Missing")</f>
        <v>16.761915371452087</v>
      </c>
      <c r="N195" s="131"/>
      <c r="O195" s="24">
        <f t="shared" ca="1" si="19"/>
        <v>114.65613846830468</v>
      </c>
      <c r="P195" s="24">
        <f t="shared" ca="1" si="18"/>
        <v>91.680375386129938</v>
      </c>
    </row>
    <row r="196" spans="1:16" x14ac:dyDescent="0.25">
      <c r="A196" s="3">
        <v>194</v>
      </c>
      <c r="B196" s="19">
        <f t="shared" si="20"/>
        <v>51898</v>
      </c>
      <c r="C196" s="9" t="str">
        <f t="shared" ref="C196:C259" si="21">CHOOSE(MONTH(B196), "Jan", "Feb", "Mar", "Apr", "May", "Jun", "Jul", "Aug", "Sep", "Oct", "Nov", "Dec")</f>
        <v>Feb</v>
      </c>
      <c r="D196" s="9">
        <f t="shared" ref="D196:D259" si="22">YEAR(B196)</f>
        <v>2042</v>
      </c>
      <c r="E196" s="9" t="str">
        <f>INDEX(Seasons,MATCH($C196,'General Inputs'!$B$20:$B$31,0),1)</f>
        <v>Winter</v>
      </c>
      <c r="F196" s="22">
        <f>'Elec Futures'!H196</f>
        <v>0</v>
      </c>
      <c r="G196" s="22">
        <f>'Elec Futures'!I196</f>
        <v>0</v>
      </c>
      <c r="H196" s="131"/>
      <c r="I196" s="22">
        <f>IFERROR('NG Futures'!$I202*HR_Low_Plant/1000,"Data Missing")</f>
        <v>95.826403676753927</v>
      </c>
      <c r="J196" s="22">
        <f>IFERROR('NG Futures'!$I202*HR_High_Plant/1000,"Data Missing")</f>
        <v>65.992507917372876</v>
      </c>
      <c r="K196" s="131"/>
      <c r="L196" s="22">
        <f ca="1">IFERROR(INDEX(Spark_Spread_On,MATCH($C196,Adjustments!$H$3:$H$14,0),1)+IF(INDEX(Spark_Spread_On,MATCH($C196,Adjustments!$H$3:$H$14,0),1)&gt;1,INDEX(Spark_Spread_On,MATCH($C196,Adjustments!$H$3:$H$14,0),1)*(Inflation_Rate+BLS_Esc_Rate),-INDEX(Spark_Spread_On,MATCH($C196,Adjustments!$H$3:$H$14,0),1)*(Inflation_Rate+BLS_Esc_Rate)),"Data Missing")</f>
        <v>5.7233949711767895</v>
      </c>
      <c r="M196" s="22">
        <f ca="1">IFERROR(INDEX(Spark_Spread_Off,MATCH($C196,Adjustments!$H$3:$H$14,0),1)+IF(INDEX(Spark_Spread_Off,MATCH($C196,Adjustments!$H$3:$H$14,0),1)&gt;1,INDEX(Spark_Spread_Off,MATCH($C196,Adjustments!$H$3:$H$14,0),1)*(Inflation_Rate+BLS_Esc_Rate),-INDEX(Spark_Spread_Off,MATCH($C196,Adjustments!$H$3:$H$14,0),1)*(Inflation_Rate+BLS_Esc_Rate)),"Data Missing")</f>
        <v>15.231728502085021</v>
      </c>
      <c r="N196" s="131"/>
      <c r="O196" s="24">
        <f t="shared" ca="1" si="19"/>
        <v>101.54979864793071</v>
      </c>
      <c r="P196" s="24">
        <f t="shared" ca="1" si="18"/>
        <v>81.224236419457895</v>
      </c>
    </row>
    <row r="197" spans="1:16" x14ac:dyDescent="0.25">
      <c r="A197" s="3">
        <v>195</v>
      </c>
      <c r="B197" s="19">
        <f t="shared" si="20"/>
        <v>51926</v>
      </c>
      <c r="C197" s="9" t="str">
        <f t="shared" si="21"/>
        <v>Mar</v>
      </c>
      <c r="D197" s="9">
        <f t="shared" si="22"/>
        <v>2042</v>
      </c>
      <c r="E197" s="9" t="str">
        <f>INDEX(Seasons,MATCH($C197,'General Inputs'!$B$20:$B$31,0),1)</f>
        <v>Shoulder</v>
      </c>
      <c r="F197" s="22">
        <f>'Elec Futures'!H197</f>
        <v>0</v>
      </c>
      <c r="G197" s="22">
        <f>'Elec Futures'!I197</f>
        <v>0</v>
      </c>
      <c r="H197" s="131"/>
      <c r="I197" s="22">
        <f>IFERROR('NG Futures'!$I203*HR_Low_Plant/1000,"Data Missing")</f>
        <v>52.222123200155664</v>
      </c>
      <c r="J197" s="22">
        <f>IFERROR('NG Futures'!$I203*HR_High_Plant/1000,"Data Missing")</f>
        <v>35.963667074196046</v>
      </c>
      <c r="K197" s="131"/>
      <c r="L197" s="22">
        <f ca="1">IFERROR(INDEX(Spark_Spread_On,MATCH($C197,Adjustments!$H$3:$H$14,0),1)+IF(INDEX(Spark_Spread_On,MATCH($C197,Adjustments!$H$3:$H$14,0),1)&gt;1,INDEX(Spark_Spread_On,MATCH($C197,Adjustments!$H$3:$H$14,0),1)*(Inflation_Rate+BLS_Esc_Rate),-INDEX(Spark_Spread_On,MATCH($C197,Adjustments!$H$3:$H$14,0),1)*(Inflation_Rate+BLS_Esc_Rate)),"Data Missing")</f>
        <v>16.528539996336317</v>
      </c>
      <c r="M197" s="22">
        <f ca="1">IFERROR(INDEX(Spark_Spread_Off,MATCH($C197,Adjustments!$H$3:$H$14,0),1)+IF(INDEX(Spark_Spread_Off,MATCH($C197,Adjustments!$H$3:$H$14,0),1)&gt;1,INDEX(Spark_Spread_Off,MATCH($C197,Adjustments!$H$3:$H$14,0),1)*(Inflation_Rate+BLS_Esc_Rate),-INDEX(Spark_Spread_Off,MATCH($C197,Adjustments!$H$3:$H$14,0),1)*(Inflation_Rate+BLS_Esc_Rate)),"Data Missing")</f>
        <v>18.910646100880385</v>
      </c>
      <c r="N197" s="131"/>
      <c r="O197" s="24">
        <f t="shared" ca="1" si="19"/>
        <v>68.750663196491985</v>
      </c>
      <c r="P197" s="24">
        <f t="shared" ca="1" si="18"/>
        <v>54.874313175076431</v>
      </c>
    </row>
    <row r="198" spans="1:16" x14ac:dyDescent="0.25">
      <c r="A198" s="3">
        <v>196</v>
      </c>
      <c r="B198" s="19">
        <f t="shared" si="20"/>
        <v>51957</v>
      </c>
      <c r="C198" s="9" t="str">
        <f t="shared" si="21"/>
        <v>Apr</v>
      </c>
      <c r="D198" s="9">
        <f t="shared" si="22"/>
        <v>2042</v>
      </c>
      <c r="E198" s="9" t="str">
        <f>INDEX(Seasons,MATCH($C198,'General Inputs'!$B$20:$B$31,0),1)</f>
        <v>Shoulder</v>
      </c>
      <c r="F198" s="22">
        <f>'Elec Futures'!H198</f>
        <v>0</v>
      </c>
      <c r="G198" s="22">
        <f>'Elec Futures'!I198</f>
        <v>0</v>
      </c>
      <c r="H198" s="131"/>
      <c r="I198" s="22">
        <f>IFERROR('NG Futures'!$I204*HR_Low_Plant/1000,"Data Missing")</f>
        <v>42.869976377053604</v>
      </c>
      <c r="J198" s="22">
        <f>IFERROR('NG Futures'!$I204*HR_High_Plant/1000,"Data Missing")</f>
        <v>29.523149642801375</v>
      </c>
      <c r="K198" s="131"/>
      <c r="L198" s="22">
        <f ca="1">IFERROR(INDEX(Spark_Spread_On,MATCH($C198,Adjustments!$H$3:$H$14,0),1)+IF(INDEX(Spark_Spread_On,MATCH($C198,Adjustments!$H$3:$H$14,0),1)&gt;1,INDEX(Spark_Spread_On,MATCH($C198,Adjustments!$H$3:$H$14,0),1)*(Inflation_Rate+BLS_Esc_Rate),-INDEX(Spark_Spread_On,MATCH($C198,Adjustments!$H$3:$H$14,0),1)*(Inflation_Rate+BLS_Esc_Rate)),"Data Missing")</f>
        <v>22.38036101423787</v>
      </c>
      <c r="M198" s="22">
        <f ca="1">IFERROR(INDEX(Spark_Spread_Off,MATCH($C198,Adjustments!$H$3:$H$14,0),1)+IF(INDEX(Spark_Spread_Off,MATCH($C198,Adjustments!$H$3:$H$14,0),1)&gt;1,INDEX(Spark_Spread_Off,MATCH($C198,Adjustments!$H$3:$H$14,0),1)*(Inflation_Rate+BLS_Esc_Rate),-INDEX(Spark_Spread_Off,MATCH($C198,Adjustments!$H$3:$H$14,0),1)*(Inflation_Rate+BLS_Esc_Rate)),"Data Missing")</f>
        <v>18.258127438419208</v>
      </c>
      <c r="N198" s="131"/>
      <c r="O198" s="24">
        <f t="shared" ca="1" si="19"/>
        <v>65.250337391291481</v>
      </c>
      <c r="P198" s="24">
        <f t="shared" ca="1" si="18"/>
        <v>47.78127708122058</v>
      </c>
    </row>
    <row r="199" spans="1:16" x14ac:dyDescent="0.25">
      <c r="A199" s="3">
        <v>197</v>
      </c>
      <c r="B199" s="19">
        <f t="shared" si="20"/>
        <v>51987</v>
      </c>
      <c r="C199" s="9" t="str">
        <f t="shared" si="21"/>
        <v>May</v>
      </c>
      <c r="D199" s="9">
        <f t="shared" si="22"/>
        <v>2042</v>
      </c>
      <c r="E199" s="9" t="str">
        <f>INDEX(Seasons,MATCH($C199,'General Inputs'!$B$20:$B$31,0),1)</f>
        <v>Summer</v>
      </c>
      <c r="F199" s="22">
        <f>'Elec Futures'!H199</f>
        <v>0</v>
      </c>
      <c r="G199" s="22">
        <f>'Elec Futures'!I199</f>
        <v>0</v>
      </c>
      <c r="H199" s="131"/>
      <c r="I199" s="22">
        <f>IFERROR('NG Futures'!$I205*HR_Low_Plant/1000,"Data Missing")</f>
        <v>37.986518413917416</v>
      </c>
      <c r="J199" s="22">
        <f>IFERROR('NG Futures'!$I205*HR_High_Plant/1000,"Data Missing")</f>
        <v>26.160071973899967</v>
      </c>
      <c r="K199" s="131"/>
      <c r="L199" s="22">
        <f ca="1">IFERROR(INDEX(Spark_Spread_On,MATCH($C199,Adjustments!$H$3:$H$14,0),1)+IF(INDEX(Spark_Spread_On,MATCH($C199,Adjustments!$H$3:$H$14,0),1)&gt;1,INDEX(Spark_Spread_On,MATCH($C199,Adjustments!$H$3:$H$14,0),1)*(Inflation_Rate+BLS_Esc_Rate),-INDEX(Spark_Spread_On,MATCH($C199,Adjustments!$H$3:$H$14,0),1)*(Inflation_Rate+BLS_Esc_Rate)),"Data Missing")</f>
        <v>26.985629754035614</v>
      </c>
      <c r="M199" s="22">
        <f ca="1">IFERROR(INDEX(Spark_Spread_Off,MATCH($C199,Adjustments!$H$3:$H$14,0),1)+IF(INDEX(Spark_Spread_Off,MATCH($C199,Adjustments!$H$3:$H$14,0),1)&gt;1,INDEX(Spark_Spread_Off,MATCH($C199,Adjustments!$H$3:$H$14,0),1)*(Inflation_Rate+BLS_Esc_Rate),-INDEX(Spark_Spread_Off,MATCH($C199,Adjustments!$H$3:$H$14,0),1)*(Inflation_Rate+BLS_Esc_Rate)),"Data Missing")</f>
        <v>16.780298980176973</v>
      </c>
      <c r="N199" s="131"/>
      <c r="O199" s="24">
        <f t="shared" ca="1" si="19"/>
        <v>64.972148167953037</v>
      </c>
      <c r="P199" s="24">
        <f t="shared" ref="P199:P262" ca="1" si="23">IFERROR(J199+M199,"Data Missing")</f>
        <v>42.94037095407694</v>
      </c>
    </row>
    <row r="200" spans="1:16" x14ac:dyDescent="0.25">
      <c r="A200" s="3">
        <v>198</v>
      </c>
      <c r="B200" s="19">
        <f t="shared" si="20"/>
        <v>52018</v>
      </c>
      <c r="C200" s="9" t="str">
        <f t="shared" si="21"/>
        <v>Jun</v>
      </c>
      <c r="D200" s="9">
        <f t="shared" si="22"/>
        <v>2042</v>
      </c>
      <c r="E200" s="9" t="str">
        <f>INDEX(Seasons,MATCH($C200,'General Inputs'!$B$20:$B$31,0),1)</f>
        <v>Summer</v>
      </c>
      <c r="F200" s="22">
        <f>'Elec Futures'!H200</f>
        <v>0</v>
      </c>
      <c r="G200" s="22">
        <f>'Elec Futures'!I200</f>
        <v>0</v>
      </c>
      <c r="H200" s="131"/>
      <c r="I200" s="22">
        <f>IFERROR('NG Futures'!$I206*HR_Low_Plant/1000,"Data Missing")</f>
        <v>38.314811647368124</v>
      </c>
      <c r="J200" s="22">
        <f>IFERROR('NG Futures'!$I206*HR_High_Plant/1000,"Data Missing")</f>
        <v>26.386156779094133</v>
      </c>
      <c r="K200" s="131"/>
      <c r="L200" s="22">
        <f ca="1">IFERROR(INDEX(Spark_Spread_On,MATCH($C200,Adjustments!$H$3:$H$14,0),1)+IF(INDEX(Spark_Spread_On,MATCH($C200,Adjustments!$H$3:$H$14,0),1)&gt;1,INDEX(Spark_Spread_On,MATCH($C200,Adjustments!$H$3:$H$14,0),1)*(Inflation_Rate+BLS_Esc_Rate),-INDEX(Spark_Spread_On,MATCH($C200,Adjustments!$H$3:$H$14,0),1)*(Inflation_Rate+BLS_Esc_Rate)),"Data Missing")</f>
        <v>32.794481155748485</v>
      </c>
      <c r="M200" s="22">
        <f ca="1">IFERROR(INDEX(Spark_Spread_Off,MATCH($C200,Adjustments!$H$3:$H$14,0),1)+IF(INDEX(Spark_Spread_Off,MATCH($C200,Adjustments!$H$3:$H$14,0),1)&gt;1,INDEX(Spark_Spread_Off,MATCH($C200,Adjustments!$H$3:$H$14,0),1)*(Inflation_Rate+BLS_Esc_Rate),-INDEX(Spark_Spread_Off,MATCH($C200,Adjustments!$H$3:$H$14,0),1)*(Inflation_Rate+BLS_Esc_Rate)),"Data Missing")</f>
        <v>16.358897919725173</v>
      </c>
      <c r="N200" s="131"/>
      <c r="O200" s="24">
        <f t="shared" ca="1" si="19"/>
        <v>71.109292803116602</v>
      </c>
      <c r="P200" s="24">
        <f t="shared" ca="1" si="23"/>
        <v>42.745054698819303</v>
      </c>
    </row>
    <row r="201" spans="1:16" x14ac:dyDescent="0.25">
      <c r="A201" s="3">
        <v>199</v>
      </c>
      <c r="B201" s="19">
        <f t="shared" si="20"/>
        <v>52048</v>
      </c>
      <c r="C201" s="9" t="str">
        <f t="shared" si="21"/>
        <v>Jul</v>
      </c>
      <c r="D201" s="9">
        <f t="shared" si="22"/>
        <v>2042</v>
      </c>
      <c r="E201" s="9" t="str">
        <f>INDEX(Seasons,MATCH($C201,'General Inputs'!$B$20:$B$31,0),1)</f>
        <v>Summer</v>
      </c>
      <c r="F201" s="22">
        <f>'Elec Futures'!H201</f>
        <v>0</v>
      </c>
      <c r="G201" s="22">
        <f>'Elec Futures'!I201</f>
        <v>0</v>
      </c>
      <c r="H201" s="131"/>
      <c r="I201" s="22">
        <f>IFERROR('NG Futures'!$I207*HR_Low_Plant/1000,"Data Missing")</f>
        <v>40.062576931856711</v>
      </c>
      <c r="J201" s="22">
        <f>IFERROR('NG Futures'!$I207*HR_High_Plant/1000,"Data Missing")</f>
        <v>27.58978552804928</v>
      </c>
      <c r="K201" s="131"/>
      <c r="L201" s="22">
        <f ca="1">IFERROR(INDEX(Spark_Spread_On,MATCH($C201,Adjustments!$H$3:$H$14,0),1)+IF(INDEX(Spark_Spread_On,MATCH($C201,Adjustments!$H$3:$H$14,0),1)&gt;1,INDEX(Spark_Spread_On,MATCH($C201,Adjustments!$H$3:$H$14,0),1)*(Inflation_Rate+BLS_Esc_Rate),-INDEX(Spark_Spread_On,MATCH($C201,Adjustments!$H$3:$H$14,0),1)*(Inflation_Rate+BLS_Esc_Rate)),"Data Missing")</f>
        <v>60.778479645687867</v>
      </c>
      <c r="M201" s="22">
        <f ca="1">IFERROR(INDEX(Spark_Spread_Off,MATCH($C201,Adjustments!$H$3:$H$14,0),1)+IF(INDEX(Spark_Spread_Off,MATCH($C201,Adjustments!$H$3:$H$14,0),1)&gt;1,INDEX(Spark_Spread_Off,MATCH($C201,Adjustments!$H$3:$H$14,0),1)*(Inflation_Rate+BLS_Esc_Rate),-INDEX(Spark_Spread_Off,MATCH($C201,Adjustments!$H$3:$H$14,0),1)*(Inflation_Rate+BLS_Esc_Rate)),"Data Missing")</f>
        <v>23.644134063075864</v>
      </c>
      <c r="N201" s="131"/>
      <c r="O201" s="24">
        <f t="shared" ca="1" si="19"/>
        <v>100.84105657754458</v>
      </c>
      <c r="P201" s="24">
        <f t="shared" ca="1" si="23"/>
        <v>51.233919591125144</v>
      </c>
    </row>
    <row r="202" spans="1:16" x14ac:dyDescent="0.25">
      <c r="A202" s="3">
        <v>200</v>
      </c>
      <c r="B202" s="19">
        <f t="shared" si="20"/>
        <v>52079</v>
      </c>
      <c r="C202" s="9" t="str">
        <f t="shared" si="21"/>
        <v>Aug</v>
      </c>
      <c r="D202" s="9">
        <f t="shared" si="22"/>
        <v>2042</v>
      </c>
      <c r="E202" s="9" t="str">
        <f>INDEX(Seasons,MATCH($C202,'General Inputs'!$B$20:$B$31,0),1)</f>
        <v>Summer</v>
      </c>
      <c r="F202" s="22">
        <f>'Elec Futures'!H202</f>
        <v>0</v>
      </c>
      <c r="G202" s="22">
        <f>'Elec Futures'!I202</f>
        <v>0</v>
      </c>
      <c r="H202" s="131"/>
      <c r="I202" s="22">
        <f>IFERROR('NG Futures'!$I208*HR_Low_Plant/1000,"Data Missing")</f>
        <v>40.68711237699479</v>
      </c>
      <c r="J202" s="22">
        <f>IFERROR('NG Futures'!$I208*HR_High_Plant/1000,"Data Missing")</f>
        <v>28.019882648744556</v>
      </c>
      <c r="K202" s="131"/>
      <c r="L202" s="22">
        <f ca="1">IFERROR(INDEX(Spark_Spread_On,MATCH($C202,Adjustments!$H$3:$H$14,0),1)+IF(INDEX(Spark_Spread_On,MATCH($C202,Adjustments!$H$3:$H$14,0),1)&gt;1,INDEX(Spark_Spread_On,MATCH($C202,Adjustments!$H$3:$H$14,0),1)*(Inflation_Rate+BLS_Esc_Rate),-INDEX(Spark_Spread_On,MATCH($C202,Adjustments!$H$3:$H$14,0),1)*(Inflation_Rate+BLS_Esc_Rate)),"Data Missing")</f>
        <v>48.689674403055982</v>
      </c>
      <c r="M202" s="22">
        <f ca="1">IFERROR(INDEX(Spark_Spread_Off,MATCH($C202,Adjustments!$H$3:$H$14,0),1)+IF(INDEX(Spark_Spread_Off,MATCH($C202,Adjustments!$H$3:$H$14,0),1)&gt;1,INDEX(Spark_Spread_Off,MATCH($C202,Adjustments!$H$3:$H$14,0),1)*(Inflation_Rate+BLS_Esc_Rate),-INDEX(Spark_Spread_Off,MATCH($C202,Adjustments!$H$3:$H$14,0),1)*(Inflation_Rate+BLS_Esc_Rate)),"Data Missing")</f>
        <v>19.08142511960634</v>
      </c>
      <c r="N202" s="131"/>
      <c r="O202" s="24">
        <f t="shared" ca="1" si="19"/>
        <v>89.376786780050764</v>
      </c>
      <c r="P202" s="24">
        <f t="shared" ca="1" si="23"/>
        <v>47.101307768350893</v>
      </c>
    </row>
    <row r="203" spans="1:16" x14ac:dyDescent="0.25">
      <c r="A203" s="3">
        <v>201</v>
      </c>
      <c r="B203" s="19">
        <f t="shared" si="20"/>
        <v>52110</v>
      </c>
      <c r="C203" s="9" t="str">
        <f t="shared" si="21"/>
        <v>Sep</v>
      </c>
      <c r="D203" s="9">
        <f t="shared" si="22"/>
        <v>2042</v>
      </c>
      <c r="E203" s="9" t="str">
        <f>INDEX(Seasons,MATCH($C203,'General Inputs'!$B$20:$B$31,0),1)</f>
        <v>Summer</v>
      </c>
      <c r="F203" s="22">
        <f>'Elec Futures'!H203</f>
        <v>0</v>
      </c>
      <c r="G203" s="22">
        <f>'Elec Futures'!I203</f>
        <v>0</v>
      </c>
      <c r="H203" s="131"/>
      <c r="I203" s="22">
        <f>IFERROR('NG Futures'!$I209*HR_Low_Plant/1000,"Data Missing")</f>
        <v>34.785410893894429</v>
      </c>
      <c r="J203" s="22">
        <f>IFERROR('NG Futures'!$I209*HR_High_Plant/1000,"Data Missing")</f>
        <v>23.955573993655673</v>
      </c>
      <c r="K203" s="131"/>
      <c r="L203" s="22">
        <f ca="1">IFERROR(INDEX(Spark_Spread_On,MATCH($C203,Adjustments!$H$3:$H$14,0),1)+IF(INDEX(Spark_Spread_On,MATCH($C203,Adjustments!$H$3:$H$14,0),1)&gt;1,INDEX(Spark_Spread_On,MATCH($C203,Adjustments!$H$3:$H$14,0),1)*(Inflation_Rate+BLS_Esc_Rate),-INDEX(Spark_Spread_On,MATCH($C203,Adjustments!$H$3:$H$14,0),1)*(Inflation_Rate+BLS_Esc_Rate)),"Data Missing")</f>
        <v>33.852941430998882</v>
      </c>
      <c r="M203" s="22">
        <f ca="1">IFERROR(INDEX(Spark_Spread_Off,MATCH($C203,Adjustments!$H$3:$H$14,0),1)+IF(INDEX(Spark_Spread_Off,MATCH($C203,Adjustments!$H$3:$H$14,0),1)&gt;1,INDEX(Spark_Spread_Off,MATCH($C203,Adjustments!$H$3:$H$14,0),1)*(Inflation_Rate+BLS_Esc_Rate),-INDEX(Spark_Spread_Off,MATCH($C203,Adjustments!$H$3:$H$14,0),1)*(Inflation_Rate+BLS_Esc_Rate)),"Data Missing")</f>
        <v>17.63955138931739</v>
      </c>
      <c r="N203" s="131"/>
      <c r="O203" s="24">
        <f t="shared" ca="1" si="19"/>
        <v>68.638352324893305</v>
      </c>
      <c r="P203" s="24">
        <f t="shared" ca="1" si="23"/>
        <v>41.595125382973066</v>
      </c>
    </row>
    <row r="204" spans="1:16" x14ac:dyDescent="0.25">
      <c r="A204" s="3">
        <v>202</v>
      </c>
      <c r="B204" s="19">
        <f t="shared" si="20"/>
        <v>52140</v>
      </c>
      <c r="C204" s="9" t="str">
        <f t="shared" si="21"/>
        <v>Oct</v>
      </c>
      <c r="D204" s="9">
        <f t="shared" si="22"/>
        <v>2042</v>
      </c>
      <c r="E204" s="9" t="str">
        <f>INDEX(Seasons,MATCH($C204,'General Inputs'!$B$20:$B$31,0),1)</f>
        <v>Shoulder</v>
      </c>
      <c r="F204" s="22">
        <f>'Elec Futures'!H204</f>
        <v>0</v>
      </c>
      <c r="G204" s="22">
        <f>'Elec Futures'!I204</f>
        <v>0</v>
      </c>
      <c r="H204" s="131"/>
      <c r="I204" s="22">
        <f>IFERROR('NG Futures'!$I210*HR_Low_Plant/1000,"Data Missing")</f>
        <v>35.439990655512837</v>
      </c>
      <c r="J204" s="22">
        <f>IFERROR('NG Futures'!$I210*HR_High_Plant/1000,"Data Missing")</f>
        <v>24.406361651792885</v>
      </c>
      <c r="K204" s="131"/>
      <c r="L204" s="22">
        <f ca="1">IFERROR(INDEX(Spark_Spread_On,MATCH($C204,Adjustments!$H$3:$H$14,0),1)+IF(INDEX(Spark_Spread_On,MATCH($C204,Adjustments!$H$3:$H$14,0),1)&gt;1,INDEX(Spark_Spread_On,MATCH($C204,Adjustments!$H$3:$H$14,0),1)*(Inflation_Rate+BLS_Esc_Rate),-INDEX(Spark_Spread_On,MATCH($C204,Adjustments!$H$3:$H$14,0),1)*(Inflation_Rate+BLS_Esc_Rate)),"Data Missing")</f>
        <v>29.40002941858754</v>
      </c>
      <c r="M204" s="22">
        <f ca="1">IFERROR(INDEX(Spark_Spread_Off,MATCH($C204,Adjustments!$H$3:$H$14,0),1)+IF(INDEX(Spark_Spread_Off,MATCH($C204,Adjustments!$H$3:$H$14,0),1)&gt;1,INDEX(Spark_Spread_Off,MATCH($C204,Adjustments!$H$3:$H$14,0),1)*(Inflation_Rate+BLS_Esc_Rate),-INDEX(Spark_Spread_Off,MATCH($C204,Adjustments!$H$3:$H$14,0),1)*(Inflation_Rate+BLS_Esc_Rate)),"Data Missing")</f>
        <v>20.150009298264372</v>
      </c>
      <c r="N204" s="131"/>
      <c r="O204" s="24">
        <f t="shared" ca="1" si="19"/>
        <v>64.84002007410038</v>
      </c>
      <c r="P204" s="24">
        <f t="shared" ca="1" si="23"/>
        <v>44.556370950057257</v>
      </c>
    </row>
    <row r="205" spans="1:16" x14ac:dyDescent="0.25">
      <c r="A205" s="3">
        <v>203</v>
      </c>
      <c r="B205" s="19">
        <f t="shared" si="20"/>
        <v>52171</v>
      </c>
      <c r="C205" s="9" t="str">
        <f t="shared" si="21"/>
        <v>Nov</v>
      </c>
      <c r="D205" s="9">
        <f t="shared" si="22"/>
        <v>2042</v>
      </c>
      <c r="E205" s="9" t="str">
        <f>INDEX(Seasons,MATCH($C205,'General Inputs'!$B$20:$B$31,0),1)</f>
        <v>Shoulder</v>
      </c>
      <c r="F205" s="22">
        <f>'Elec Futures'!H205</f>
        <v>0</v>
      </c>
      <c r="G205" s="22">
        <f>'Elec Futures'!I205</f>
        <v>0</v>
      </c>
      <c r="H205" s="131"/>
      <c r="I205" s="22">
        <f>IFERROR('NG Futures'!$I211*HR_Low_Plant/1000,"Data Missing")</f>
        <v>46.243210449296569</v>
      </c>
      <c r="J205" s="22">
        <f>IFERROR('NG Futures'!$I211*HR_High_Plant/1000,"Data Missing")</f>
        <v>31.846185546043223</v>
      </c>
      <c r="K205" s="131"/>
      <c r="L205" s="22">
        <f ca="1">IFERROR(INDEX(Spark_Spread_On,MATCH($C205,Adjustments!$H$3:$H$14,0),1)+IF(INDEX(Spark_Spread_On,MATCH($C205,Adjustments!$H$3:$H$14,0),1)&gt;1,INDEX(Spark_Spread_On,MATCH($C205,Adjustments!$H$3:$H$14,0),1)*(Inflation_Rate+BLS_Esc_Rate),-INDEX(Spark_Spread_On,MATCH($C205,Adjustments!$H$3:$H$14,0),1)*(Inflation_Rate+BLS_Esc_Rate)),"Data Missing")</f>
        <v>22.485829134622783</v>
      </c>
      <c r="M205" s="22">
        <f ca="1">IFERROR(INDEX(Spark_Spread_Off,MATCH($C205,Adjustments!$H$3:$H$14,0),1)+IF(INDEX(Spark_Spread_Off,MATCH($C205,Adjustments!$H$3:$H$14,0),1)&gt;1,INDEX(Spark_Spread_Off,MATCH($C205,Adjustments!$H$3:$H$14,0),1)*(Inflation_Rate+BLS_Esc_Rate),-INDEX(Spark_Spread_Off,MATCH($C205,Adjustments!$H$3:$H$14,0),1)*(Inflation_Rate+BLS_Esc_Rate)),"Data Missing")</f>
        <v>20.092402274981513</v>
      </c>
      <c r="N205" s="131"/>
      <c r="O205" s="24">
        <f t="shared" ca="1" si="19"/>
        <v>68.729039583919359</v>
      </c>
      <c r="P205" s="24">
        <f t="shared" ca="1" si="23"/>
        <v>51.93858782102474</v>
      </c>
    </row>
    <row r="206" spans="1:16" x14ac:dyDescent="0.25">
      <c r="A206" s="3">
        <v>204</v>
      </c>
      <c r="B206" s="19">
        <f t="shared" si="20"/>
        <v>52201</v>
      </c>
      <c r="C206" s="9" t="str">
        <f t="shared" si="21"/>
        <v>Dec</v>
      </c>
      <c r="D206" s="9">
        <f t="shared" si="22"/>
        <v>2042</v>
      </c>
      <c r="E206" s="9" t="str">
        <f>INDEX(Seasons,MATCH($C206,'General Inputs'!$B$20:$B$31,0),1)</f>
        <v>Winter</v>
      </c>
      <c r="F206" s="22">
        <f>'Elec Futures'!H206</f>
        <v>0</v>
      </c>
      <c r="G206" s="22">
        <f>'Elec Futures'!I206</f>
        <v>0</v>
      </c>
      <c r="H206" s="131"/>
      <c r="I206" s="22">
        <f>IFERROR('NG Futures'!$I212*HR_Low_Plant/1000,"Data Missing")</f>
        <v>75.454988042481546</v>
      </c>
      <c r="J206" s="22">
        <f>IFERROR('NG Futures'!$I212*HR_High_Plant/1000,"Data Missing")</f>
        <v>51.963380704504978</v>
      </c>
      <c r="K206" s="131"/>
      <c r="L206" s="22">
        <f ca="1">IFERROR(INDEX(Spark_Spread_On,MATCH($C206,Adjustments!$H$3:$H$14,0),1)+IF(INDEX(Spark_Spread_On,MATCH($C206,Adjustments!$H$3:$H$14,0),1)&gt;1,INDEX(Spark_Spread_On,MATCH($C206,Adjustments!$H$3:$H$14,0),1)*(Inflation_Rate+BLS_Esc_Rate),-INDEX(Spark_Spread_On,MATCH($C206,Adjustments!$H$3:$H$14,0),1)*(Inflation_Rate+BLS_Esc_Rate)),"Data Missing")</f>
        <v>11.430346668590539</v>
      </c>
      <c r="M206" s="22">
        <f ca="1">IFERROR(INDEX(Spark_Spread_Off,MATCH($C206,Adjustments!$H$3:$H$14,0),1)+IF(INDEX(Spark_Spread_Off,MATCH($C206,Adjustments!$H$3:$H$14,0),1)&gt;1,INDEX(Spark_Spread_Off,MATCH($C206,Adjustments!$H$3:$H$14,0),1)*(Inflation_Rate+BLS_Esc_Rate),-INDEX(Spark_Spread_Off,MATCH($C206,Adjustments!$H$3:$H$14,0),1)*(Inflation_Rate+BLS_Esc_Rate)),"Data Missing")</f>
        <v>16.391451942721986</v>
      </c>
      <c r="N206" s="131"/>
      <c r="O206" s="24">
        <f t="shared" ca="1" si="19"/>
        <v>86.88533471107209</v>
      </c>
      <c r="P206" s="24">
        <f t="shared" ca="1" si="23"/>
        <v>68.354832647226971</v>
      </c>
    </row>
    <row r="207" spans="1:16" x14ac:dyDescent="0.25">
      <c r="A207" s="3">
        <v>205</v>
      </c>
      <c r="B207" s="19">
        <f t="shared" si="20"/>
        <v>52232</v>
      </c>
      <c r="C207" s="9" t="str">
        <f t="shared" si="21"/>
        <v>Jan</v>
      </c>
      <c r="D207" s="9">
        <f t="shared" si="22"/>
        <v>2043</v>
      </c>
      <c r="E207" s="9" t="str">
        <f>INDEX(Seasons,MATCH($C207,'General Inputs'!$B$20:$B$31,0),1)</f>
        <v>Winter</v>
      </c>
      <c r="F207" s="22">
        <f>'Elec Futures'!H207</f>
        <v>0</v>
      </c>
      <c r="G207" s="22">
        <f>'Elec Futures'!I207</f>
        <v>0</v>
      </c>
      <c r="H207" s="131"/>
      <c r="I207" s="22">
        <f>IFERROR('NG Futures'!$I213*HR_Low_Plant/1000,"Data Missing")</f>
        <v>112.50664058553747</v>
      </c>
      <c r="J207" s="22">
        <f>IFERROR('NG Futures'!$I213*HR_High_Plant/1000,"Data Missing")</f>
        <v>77.479641150293972</v>
      </c>
      <c r="K207" s="131"/>
      <c r="L207" s="22">
        <f ca="1">IFERROR(INDEX(Spark_Spread_On,MATCH($C207,Adjustments!$H$3:$H$14,0),1)+IF(INDEX(Spark_Spread_On,MATCH($C207,Adjustments!$H$3:$H$14,0),1)&gt;1,INDEX(Spark_Spread_On,MATCH($C207,Adjustments!$H$3:$H$14,0),1)*(Inflation_Rate+BLS_Esc_Rate),-INDEX(Spark_Spread_On,MATCH($C207,Adjustments!$H$3:$H$14,0),1)*(Inflation_Rate+BLS_Esc_Rate)),"Data Missing")</f>
        <v>5.8685378940686794</v>
      </c>
      <c r="M207" s="22">
        <f ca="1">IFERROR(INDEX(Spark_Spread_Off,MATCH($C207,Adjustments!$H$3:$H$14,0),1)+IF(INDEX(Spark_Spread_Off,MATCH($C207,Adjustments!$H$3:$H$14,0),1)&gt;1,INDEX(Spark_Spread_Off,MATCH($C207,Adjustments!$H$3:$H$14,0),1)*(Inflation_Rate+BLS_Esc_Rate),-INDEX(Spark_Spread_Off,MATCH($C207,Adjustments!$H$3:$H$14,0),1)*(Inflation_Rate+BLS_Esc_Rate)),"Data Missing")</f>
        <v>16.761915371452087</v>
      </c>
      <c r="N207" s="131"/>
      <c r="O207" s="24">
        <f t="shared" ca="1" si="19"/>
        <v>118.37517847960615</v>
      </c>
      <c r="P207" s="24">
        <f t="shared" ca="1" si="23"/>
        <v>94.241556521746062</v>
      </c>
    </row>
    <row r="208" spans="1:16" x14ac:dyDescent="0.25">
      <c r="A208" s="3">
        <v>206</v>
      </c>
      <c r="B208" s="19">
        <f t="shared" si="20"/>
        <v>52263</v>
      </c>
      <c r="C208" s="9" t="str">
        <f t="shared" si="21"/>
        <v>Feb</v>
      </c>
      <c r="D208" s="9">
        <f t="shared" si="22"/>
        <v>2043</v>
      </c>
      <c r="E208" s="9" t="str">
        <f>INDEX(Seasons,MATCH($C208,'General Inputs'!$B$20:$B$31,0),1)</f>
        <v>Winter</v>
      </c>
      <c r="F208" s="22">
        <f>'Elec Futures'!H208</f>
        <v>0</v>
      </c>
      <c r="G208" s="22">
        <f>'Elec Futures'!I208</f>
        <v>0</v>
      </c>
      <c r="H208" s="131"/>
      <c r="I208" s="22">
        <f>IFERROR('NG Futures'!$I214*HR_Low_Plant/1000,"Data Missing")</f>
        <v>99.102348982393593</v>
      </c>
      <c r="J208" s="22">
        <f>IFERROR('NG Futures'!$I214*HR_High_Plant/1000,"Data Missing")</f>
        <v>68.248544231211397</v>
      </c>
      <c r="K208" s="131"/>
      <c r="L208" s="22">
        <f ca="1">IFERROR(INDEX(Spark_Spread_On,MATCH($C208,Adjustments!$H$3:$H$14,0),1)+IF(INDEX(Spark_Spread_On,MATCH($C208,Adjustments!$H$3:$H$14,0),1)&gt;1,INDEX(Spark_Spread_On,MATCH($C208,Adjustments!$H$3:$H$14,0),1)*(Inflation_Rate+BLS_Esc_Rate),-INDEX(Spark_Spread_On,MATCH($C208,Adjustments!$H$3:$H$14,0),1)*(Inflation_Rate+BLS_Esc_Rate)),"Data Missing")</f>
        <v>5.7233949711767895</v>
      </c>
      <c r="M208" s="22">
        <f ca="1">IFERROR(INDEX(Spark_Spread_Off,MATCH($C208,Adjustments!$H$3:$H$14,0),1)+IF(INDEX(Spark_Spread_Off,MATCH($C208,Adjustments!$H$3:$H$14,0),1)&gt;1,INDEX(Spark_Spread_Off,MATCH($C208,Adjustments!$H$3:$H$14,0),1)*(Inflation_Rate+BLS_Esc_Rate),-INDEX(Spark_Spread_Off,MATCH($C208,Adjustments!$H$3:$H$14,0),1)*(Inflation_Rate+BLS_Esc_Rate)),"Data Missing")</f>
        <v>15.231728502085021</v>
      </c>
      <c r="N208" s="131"/>
      <c r="O208" s="24">
        <f t="shared" ca="1" si="19"/>
        <v>104.82574395357038</v>
      </c>
      <c r="P208" s="24">
        <f t="shared" ca="1" si="23"/>
        <v>83.480272733296417</v>
      </c>
    </row>
    <row r="209" spans="1:16" x14ac:dyDescent="0.25">
      <c r="A209" s="3">
        <v>207</v>
      </c>
      <c r="B209" s="19">
        <f t="shared" si="20"/>
        <v>52291</v>
      </c>
      <c r="C209" s="9" t="str">
        <f t="shared" si="21"/>
        <v>Mar</v>
      </c>
      <c r="D209" s="9">
        <f t="shared" si="22"/>
        <v>2043</v>
      </c>
      <c r="E209" s="9" t="str">
        <f>INDEX(Seasons,MATCH($C209,'General Inputs'!$B$20:$B$31,0),1)</f>
        <v>Shoulder</v>
      </c>
      <c r="F209" s="22">
        <f>'Elec Futures'!H209</f>
        <v>0</v>
      </c>
      <c r="G209" s="22">
        <f>'Elec Futures'!I209</f>
        <v>0</v>
      </c>
      <c r="H209" s="131"/>
      <c r="I209" s="22">
        <f>IFERROR('NG Futures'!$I215*HR_Low_Plant/1000,"Data Missing")</f>
        <v>54.007401711965102</v>
      </c>
      <c r="J209" s="22">
        <f>IFERROR('NG Futures'!$I215*HR_High_Plant/1000,"Data Missing")</f>
        <v>37.193129955039616</v>
      </c>
      <c r="K209" s="131"/>
      <c r="L209" s="22">
        <f ca="1">IFERROR(INDEX(Spark_Spread_On,MATCH($C209,Adjustments!$H$3:$H$14,0),1)+IF(INDEX(Spark_Spread_On,MATCH($C209,Adjustments!$H$3:$H$14,0),1)&gt;1,INDEX(Spark_Spread_On,MATCH($C209,Adjustments!$H$3:$H$14,0),1)*(Inflation_Rate+BLS_Esc_Rate),-INDEX(Spark_Spread_On,MATCH($C209,Adjustments!$H$3:$H$14,0),1)*(Inflation_Rate+BLS_Esc_Rate)),"Data Missing")</f>
        <v>16.528539996336317</v>
      </c>
      <c r="M209" s="22">
        <f ca="1">IFERROR(INDEX(Spark_Spread_Off,MATCH($C209,Adjustments!$H$3:$H$14,0),1)+IF(INDEX(Spark_Spread_Off,MATCH($C209,Adjustments!$H$3:$H$14,0),1)&gt;1,INDEX(Spark_Spread_Off,MATCH($C209,Adjustments!$H$3:$H$14,0),1)*(Inflation_Rate+BLS_Esc_Rate),-INDEX(Spark_Spread_Off,MATCH($C209,Adjustments!$H$3:$H$14,0),1)*(Inflation_Rate+BLS_Esc_Rate)),"Data Missing")</f>
        <v>18.910646100880385</v>
      </c>
      <c r="N209" s="131"/>
      <c r="O209" s="24">
        <f t="shared" ca="1" si="19"/>
        <v>70.535941708301422</v>
      </c>
      <c r="P209" s="24">
        <f t="shared" ca="1" si="23"/>
        <v>56.103776055920001</v>
      </c>
    </row>
    <row r="210" spans="1:16" x14ac:dyDescent="0.25">
      <c r="A210" s="3">
        <v>208</v>
      </c>
      <c r="B210" s="19">
        <f t="shared" si="20"/>
        <v>52322</v>
      </c>
      <c r="C210" s="9" t="str">
        <f t="shared" si="21"/>
        <v>Apr</v>
      </c>
      <c r="D210" s="9">
        <f t="shared" si="22"/>
        <v>2043</v>
      </c>
      <c r="E210" s="9" t="str">
        <f>INDEX(Seasons,MATCH($C210,'General Inputs'!$B$20:$B$31,0),1)</f>
        <v>Shoulder</v>
      </c>
      <c r="F210" s="22">
        <f>'Elec Futures'!H210</f>
        <v>0</v>
      </c>
      <c r="G210" s="22">
        <f>'Elec Futures'!I210</f>
        <v>0</v>
      </c>
      <c r="H210" s="131"/>
      <c r="I210" s="22">
        <f>IFERROR('NG Futures'!$I216*HR_Low_Plant/1000,"Data Missing")</f>
        <v>44.335540068027861</v>
      </c>
      <c r="J210" s="22">
        <f>IFERROR('NG Futures'!$I216*HR_High_Plant/1000,"Data Missing")</f>
        <v>30.5324353904569</v>
      </c>
      <c r="K210" s="131"/>
      <c r="L210" s="22">
        <f ca="1">IFERROR(INDEX(Spark_Spread_On,MATCH($C210,Adjustments!$H$3:$H$14,0),1)+IF(INDEX(Spark_Spread_On,MATCH($C210,Adjustments!$H$3:$H$14,0),1)&gt;1,INDEX(Spark_Spread_On,MATCH($C210,Adjustments!$H$3:$H$14,0),1)*(Inflation_Rate+BLS_Esc_Rate),-INDEX(Spark_Spread_On,MATCH($C210,Adjustments!$H$3:$H$14,0),1)*(Inflation_Rate+BLS_Esc_Rate)),"Data Missing")</f>
        <v>22.38036101423787</v>
      </c>
      <c r="M210" s="22">
        <f ca="1">IFERROR(INDEX(Spark_Spread_Off,MATCH($C210,Adjustments!$H$3:$H$14,0),1)+IF(INDEX(Spark_Spread_Off,MATCH($C210,Adjustments!$H$3:$H$14,0),1)&gt;1,INDEX(Spark_Spread_Off,MATCH($C210,Adjustments!$H$3:$H$14,0),1)*(Inflation_Rate+BLS_Esc_Rate),-INDEX(Spark_Spread_Off,MATCH($C210,Adjustments!$H$3:$H$14,0),1)*(Inflation_Rate+BLS_Esc_Rate)),"Data Missing")</f>
        <v>18.258127438419208</v>
      </c>
      <c r="N210" s="131"/>
      <c r="O210" s="24">
        <f t="shared" ca="1" si="19"/>
        <v>66.715901082265731</v>
      </c>
      <c r="P210" s="24">
        <f t="shared" ca="1" si="23"/>
        <v>48.790562828876105</v>
      </c>
    </row>
    <row r="211" spans="1:16" x14ac:dyDescent="0.25">
      <c r="A211" s="3">
        <v>209</v>
      </c>
      <c r="B211" s="19">
        <f t="shared" si="20"/>
        <v>52352</v>
      </c>
      <c r="C211" s="9" t="str">
        <f t="shared" si="21"/>
        <v>May</v>
      </c>
      <c r="D211" s="9">
        <f t="shared" si="22"/>
        <v>2043</v>
      </c>
      <c r="E211" s="9" t="str">
        <f>INDEX(Seasons,MATCH($C211,'General Inputs'!$B$20:$B$31,0),1)</f>
        <v>Summer</v>
      </c>
      <c r="F211" s="22">
        <f>'Elec Futures'!H211</f>
        <v>0</v>
      </c>
      <c r="G211" s="22">
        <f>'Elec Futures'!I211</f>
        <v>0</v>
      </c>
      <c r="H211" s="131"/>
      <c r="I211" s="22">
        <f>IFERROR('NG Futures'!$I217*HR_Low_Plant/1000,"Data Missing")</f>
        <v>39.285134994535845</v>
      </c>
      <c r="J211" s="22">
        <f>IFERROR('NG Futures'!$I217*HR_High_Plant/1000,"Data Missing")</f>
        <v>27.054386710652246</v>
      </c>
      <c r="K211" s="131"/>
      <c r="L211" s="22">
        <f ca="1">IFERROR(INDEX(Spark_Spread_On,MATCH($C211,Adjustments!$H$3:$H$14,0),1)+IF(INDEX(Spark_Spread_On,MATCH($C211,Adjustments!$H$3:$H$14,0),1)&gt;1,INDEX(Spark_Spread_On,MATCH($C211,Adjustments!$H$3:$H$14,0),1)*(Inflation_Rate+BLS_Esc_Rate),-INDEX(Spark_Spread_On,MATCH($C211,Adjustments!$H$3:$H$14,0),1)*(Inflation_Rate+BLS_Esc_Rate)),"Data Missing")</f>
        <v>26.985629754035614</v>
      </c>
      <c r="M211" s="22">
        <f ca="1">IFERROR(INDEX(Spark_Spread_Off,MATCH($C211,Adjustments!$H$3:$H$14,0),1)+IF(INDEX(Spark_Spread_Off,MATCH($C211,Adjustments!$H$3:$H$14,0),1)&gt;1,INDEX(Spark_Spread_Off,MATCH($C211,Adjustments!$H$3:$H$14,0),1)*(Inflation_Rate+BLS_Esc_Rate),-INDEX(Spark_Spread_Off,MATCH($C211,Adjustments!$H$3:$H$14,0),1)*(Inflation_Rate+BLS_Esc_Rate)),"Data Missing")</f>
        <v>16.780298980176973</v>
      </c>
      <c r="N211" s="131"/>
      <c r="O211" s="24">
        <f t="shared" ca="1" si="19"/>
        <v>66.270764748571452</v>
      </c>
      <c r="P211" s="24">
        <f t="shared" ca="1" si="23"/>
        <v>43.834685690829218</v>
      </c>
    </row>
    <row r="212" spans="1:16" x14ac:dyDescent="0.25">
      <c r="A212" s="3">
        <v>210</v>
      </c>
      <c r="B212" s="19">
        <f t="shared" si="20"/>
        <v>52383</v>
      </c>
      <c r="C212" s="9" t="str">
        <f t="shared" si="21"/>
        <v>Jun</v>
      </c>
      <c r="D212" s="9">
        <f t="shared" si="22"/>
        <v>2043</v>
      </c>
      <c r="E212" s="9" t="str">
        <f>INDEX(Seasons,MATCH($C212,'General Inputs'!$B$20:$B$31,0),1)</f>
        <v>Summer</v>
      </c>
      <c r="F212" s="22">
        <f>'Elec Futures'!H212</f>
        <v>0</v>
      </c>
      <c r="G212" s="22">
        <f>'Elec Futures'!I212</f>
        <v>0</v>
      </c>
      <c r="H212" s="131"/>
      <c r="I212" s="22">
        <f>IFERROR('NG Futures'!$I218*HR_Low_Plant/1000,"Data Missing")</f>
        <v>39.624651342240369</v>
      </c>
      <c r="J212" s="22">
        <f>IFERROR('NG Futures'!$I218*HR_High_Plant/1000,"Data Missing")</f>
        <v>27.288200507312588</v>
      </c>
      <c r="K212" s="131"/>
      <c r="L212" s="22">
        <f ca="1">IFERROR(INDEX(Spark_Spread_On,MATCH($C212,Adjustments!$H$3:$H$14,0),1)+IF(INDEX(Spark_Spread_On,MATCH($C212,Adjustments!$H$3:$H$14,0),1)&gt;1,INDEX(Spark_Spread_On,MATCH($C212,Adjustments!$H$3:$H$14,0),1)*(Inflation_Rate+BLS_Esc_Rate),-INDEX(Spark_Spread_On,MATCH($C212,Adjustments!$H$3:$H$14,0),1)*(Inflation_Rate+BLS_Esc_Rate)),"Data Missing")</f>
        <v>32.794481155748485</v>
      </c>
      <c r="M212" s="22">
        <f ca="1">IFERROR(INDEX(Spark_Spread_Off,MATCH($C212,Adjustments!$H$3:$H$14,0),1)+IF(INDEX(Spark_Spread_Off,MATCH($C212,Adjustments!$H$3:$H$14,0),1)&gt;1,INDEX(Spark_Spread_Off,MATCH($C212,Adjustments!$H$3:$H$14,0),1)*(Inflation_Rate+BLS_Esc_Rate),-INDEX(Spark_Spread_Off,MATCH($C212,Adjustments!$H$3:$H$14,0),1)*(Inflation_Rate+BLS_Esc_Rate)),"Data Missing")</f>
        <v>16.358897919725173</v>
      </c>
      <c r="N212" s="131"/>
      <c r="O212" s="24">
        <f t="shared" ca="1" si="19"/>
        <v>72.419132497988855</v>
      </c>
      <c r="P212" s="24">
        <f t="shared" ca="1" si="23"/>
        <v>43.647098427037761</v>
      </c>
    </row>
    <row r="213" spans="1:16" x14ac:dyDescent="0.25">
      <c r="A213" s="3">
        <v>211</v>
      </c>
      <c r="B213" s="19">
        <f t="shared" si="20"/>
        <v>52413</v>
      </c>
      <c r="C213" s="9" t="str">
        <f t="shared" si="21"/>
        <v>Jul</v>
      </c>
      <c r="D213" s="9">
        <f t="shared" si="22"/>
        <v>2043</v>
      </c>
      <c r="E213" s="9" t="str">
        <f>INDEX(Seasons,MATCH($C213,'General Inputs'!$B$20:$B$31,0),1)</f>
        <v>Summer</v>
      </c>
      <c r="F213" s="22">
        <f>'Elec Futures'!H213</f>
        <v>0</v>
      </c>
      <c r="G213" s="22">
        <f>'Elec Futures'!I213</f>
        <v>0</v>
      </c>
      <c r="H213" s="131"/>
      <c r="I213" s="22">
        <f>IFERROR('NG Futures'!$I219*HR_Low_Plant/1000,"Data Missing")</f>
        <v>41.432166166098014</v>
      </c>
      <c r="J213" s="22">
        <f>IFERROR('NG Futures'!$I219*HR_High_Plant/1000,"Data Missing")</f>
        <v>28.532976808493252</v>
      </c>
      <c r="K213" s="131"/>
      <c r="L213" s="22">
        <f ca="1">IFERROR(INDEX(Spark_Spread_On,MATCH($C213,Adjustments!$H$3:$H$14,0),1)+IF(INDEX(Spark_Spread_On,MATCH($C213,Adjustments!$H$3:$H$14,0),1)&gt;1,INDEX(Spark_Spread_On,MATCH($C213,Adjustments!$H$3:$H$14,0),1)*(Inflation_Rate+BLS_Esc_Rate),-INDEX(Spark_Spread_On,MATCH($C213,Adjustments!$H$3:$H$14,0),1)*(Inflation_Rate+BLS_Esc_Rate)),"Data Missing")</f>
        <v>60.778479645687867</v>
      </c>
      <c r="M213" s="22">
        <f ca="1">IFERROR(INDEX(Spark_Spread_Off,MATCH($C213,Adjustments!$H$3:$H$14,0),1)+IF(INDEX(Spark_Spread_Off,MATCH($C213,Adjustments!$H$3:$H$14,0),1)&gt;1,INDEX(Spark_Spread_Off,MATCH($C213,Adjustments!$H$3:$H$14,0),1)*(Inflation_Rate+BLS_Esc_Rate),-INDEX(Spark_Spread_Off,MATCH($C213,Adjustments!$H$3:$H$14,0),1)*(Inflation_Rate+BLS_Esc_Rate)),"Data Missing")</f>
        <v>23.644134063075864</v>
      </c>
      <c r="N213" s="131"/>
      <c r="O213" s="24">
        <f t="shared" ca="1" si="19"/>
        <v>102.21064581178588</v>
      </c>
      <c r="P213" s="24">
        <f t="shared" ca="1" si="23"/>
        <v>52.177110871569113</v>
      </c>
    </row>
    <row r="214" spans="1:16" x14ac:dyDescent="0.25">
      <c r="A214" s="3">
        <v>212</v>
      </c>
      <c r="B214" s="19">
        <f t="shared" si="20"/>
        <v>52444</v>
      </c>
      <c r="C214" s="9" t="str">
        <f t="shared" si="21"/>
        <v>Aug</v>
      </c>
      <c r="D214" s="9">
        <f t="shared" si="22"/>
        <v>2043</v>
      </c>
      <c r="E214" s="9" t="str">
        <f>INDEX(Seasons,MATCH($C214,'General Inputs'!$B$20:$B$31,0),1)</f>
        <v>Summer</v>
      </c>
      <c r="F214" s="22">
        <f>'Elec Futures'!H214</f>
        <v>0</v>
      </c>
      <c r="G214" s="22">
        <f>'Elec Futures'!I214</f>
        <v>0</v>
      </c>
      <c r="H214" s="131"/>
      <c r="I214" s="22">
        <f>IFERROR('NG Futures'!$I220*HR_Low_Plant/1000,"Data Missing")</f>
        <v>42.078052135530086</v>
      </c>
      <c r="J214" s="22">
        <f>IFERROR('NG Futures'!$I220*HR_High_Plant/1000,"Data Missing")</f>
        <v>28.977777336490171</v>
      </c>
      <c r="K214" s="131"/>
      <c r="L214" s="22">
        <f ca="1">IFERROR(INDEX(Spark_Spread_On,MATCH($C214,Adjustments!$H$3:$H$14,0),1)+IF(INDEX(Spark_Spread_On,MATCH($C214,Adjustments!$H$3:$H$14,0),1)&gt;1,INDEX(Spark_Spread_On,MATCH($C214,Adjustments!$H$3:$H$14,0),1)*(Inflation_Rate+BLS_Esc_Rate),-INDEX(Spark_Spread_On,MATCH($C214,Adjustments!$H$3:$H$14,0),1)*(Inflation_Rate+BLS_Esc_Rate)),"Data Missing")</f>
        <v>48.689674403055982</v>
      </c>
      <c r="M214" s="22">
        <f ca="1">IFERROR(INDEX(Spark_Spread_Off,MATCH($C214,Adjustments!$H$3:$H$14,0),1)+IF(INDEX(Spark_Spread_Off,MATCH($C214,Adjustments!$H$3:$H$14,0),1)&gt;1,INDEX(Spark_Spread_Off,MATCH($C214,Adjustments!$H$3:$H$14,0),1)*(Inflation_Rate+BLS_Esc_Rate),-INDEX(Spark_Spread_Off,MATCH($C214,Adjustments!$H$3:$H$14,0),1)*(Inflation_Rate+BLS_Esc_Rate)),"Data Missing")</f>
        <v>19.08142511960634</v>
      </c>
      <c r="N214" s="131"/>
      <c r="O214" s="24">
        <f t="shared" ca="1" si="19"/>
        <v>90.767726538586061</v>
      </c>
      <c r="P214" s="24">
        <f t="shared" ca="1" si="23"/>
        <v>48.059202456096514</v>
      </c>
    </row>
    <row r="215" spans="1:16" x14ac:dyDescent="0.25">
      <c r="A215" s="3">
        <v>213</v>
      </c>
      <c r="B215" s="19">
        <f t="shared" si="20"/>
        <v>52475</v>
      </c>
      <c r="C215" s="9" t="str">
        <f t="shared" si="21"/>
        <v>Sep</v>
      </c>
      <c r="D215" s="9">
        <f t="shared" si="22"/>
        <v>2043</v>
      </c>
      <c r="E215" s="9" t="str">
        <f>INDEX(Seasons,MATCH($C215,'General Inputs'!$B$20:$B$31,0),1)</f>
        <v>Summer</v>
      </c>
      <c r="F215" s="22">
        <f>'Elec Futures'!H215</f>
        <v>0</v>
      </c>
      <c r="G215" s="22">
        <f>'Elec Futures'!I215</f>
        <v>0</v>
      </c>
      <c r="H215" s="131"/>
      <c r="I215" s="22">
        <f>IFERROR('NG Futures'!$I221*HR_Low_Plant/1000,"Data Missing")</f>
        <v>35.974593615464563</v>
      </c>
      <c r="J215" s="22">
        <f>IFERROR('NG Futures'!$I221*HR_High_Plant/1000,"Data Missing")</f>
        <v>24.774525213333526</v>
      </c>
      <c r="K215" s="131"/>
      <c r="L215" s="22">
        <f ca="1">IFERROR(INDEX(Spark_Spread_On,MATCH($C215,Adjustments!$H$3:$H$14,0),1)+IF(INDEX(Spark_Spread_On,MATCH($C215,Adjustments!$H$3:$H$14,0),1)&gt;1,INDEX(Spark_Spread_On,MATCH($C215,Adjustments!$H$3:$H$14,0),1)*(Inflation_Rate+BLS_Esc_Rate),-INDEX(Spark_Spread_On,MATCH($C215,Adjustments!$H$3:$H$14,0),1)*(Inflation_Rate+BLS_Esc_Rate)),"Data Missing")</f>
        <v>33.852941430998882</v>
      </c>
      <c r="M215" s="22">
        <f ca="1">IFERROR(INDEX(Spark_Spread_Off,MATCH($C215,Adjustments!$H$3:$H$14,0),1)+IF(INDEX(Spark_Spread_Off,MATCH($C215,Adjustments!$H$3:$H$14,0),1)&gt;1,INDEX(Spark_Spread_Off,MATCH($C215,Adjustments!$H$3:$H$14,0),1)*(Inflation_Rate+BLS_Esc_Rate),-INDEX(Spark_Spread_Off,MATCH($C215,Adjustments!$H$3:$H$14,0),1)*(Inflation_Rate+BLS_Esc_Rate)),"Data Missing")</f>
        <v>17.63955138931739</v>
      </c>
      <c r="N215" s="131"/>
      <c r="O215" s="24">
        <f t="shared" ca="1" si="19"/>
        <v>69.827535046463453</v>
      </c>
      <c r="P215" s="24">
        <f t="shared" ca="1" si="23"/>
        <v>42.414076602650916</v>
      </c>
    </row>
    <row r="216" spans="1:16" x14ac:dyDescent="0.25">
      <c r="A216" s="3">
        <v>214</v>
      </c>
      <c r="B216" s="19">
        <f t="shared" si="20"/>
        <v>52505</v>
      </c>
      <c r="C216" s="9" t="str">
        <f t="shared" si="21"/>
        <v>Oct</v>
      </c>
      <c r="D216" s="9">
        <f t="shared" si="22"/>
        <v>2043</v>
      </c>
      <c r="E216" s="9" t="str">
        <f>INDEX(Seasons,MATCH($C216,'General Inputs'!$B$20:$B$31,0),1)</f>
        <v>Shoulder</v>
      </c>
      <c r="F216" s="22">
        <f>'Elec Futures'!H216</f>
        <v>0</v>
      </c>
      <c r="G216" s="22">
        <f>'Elec Futures'!I216</f>
        <v>0</v>
      </c>
      <c r="H216" s="131"/>
      <c r="I216" s="22">
        <f>IFERROR('NG Futures'!$I222*HR_Low_Plant/1000,"Data Missing")</f>
        <v>36.651551003863943</v>
      </c>
      <c r="J216" s="22">
        <f>IFERROR('NG Futures'!$I222*HR_High_Plant/1000,"Data Missing")</f>
        <v>25.240723610639208</v>
      </c>
      <c r="K216" s="131"/>
      <c r="L216" s="22">
        <f ca="1">IFERROR(INDEX(Spark_Spread_On,MATCH($C216,Adjustments!$H$3:$H$14,0),1)+IF(INDEX(Spark_Spread_On,MATCH($C216,Adjustments!$H$3:$H$14,0),1)&gt;1,INDEX(Spark_Spread_On,MATCH($C216,Adjustments!$H$3:$H$14,0),1)*(Inflation_Rate+BLS_Esc_Rate),-INDEX(Spark_Spread_On,MATCH($C216,Adjustments!$H$3:$H$14,0),1)*(Inflation_Rate+BLS_Esc_Rate)),"Data Missing")</f>
        <v>29.40002941858754</v>
      </c>
      <c r="M216" s="22">
        <f ca="1">IFERROR(INDEX(Spark_Spread_Off,MATCH($C216,Adjustments!$H$3:$H$14,0),1)+IF(INDEX(Spark_Spread_Off,MATCH($C216,Adjustments!$H$3:$H$14,0),1)&gt;1,INDEX(Spark_Spread_Off,MATCH($C216,Adjustments!$H$3:$H$14,0),1)*(Inflation_Rate+BLS_Esc_Rate),-INDEX(Spark_Spread_Off,MATCH($C216,Adjustments!$H$3:$H$14,0),1)*(Inflation_Rate+BLS_Esc_Rate)),"Data Missing")</f>
        <v>20.150009298264372</v>
      </c>
      <c r="N216" s="131"/>
      <c r="O216" s="24">
        <f t="shared" ca="1" si="19"/>
        <v>66.05158042245148</v>
      </c>
      <c r="P216" s="24">
        <f t="shared" ca="1" si="23"/>
        <v>45.39073290890358</v>
      </c>
    </row>
    <row r="217" spans="1:16" x14ac:dyDescent="0.25">
      <c r="A217" s="3">
        <v>215</v>
      </c>
      <c r="B217" s="19">
        <f t="shared" si="20"/>
        <v>52536</v>
      </c>
      <c r="C217" s="9" t="str">
        <f t="shared" si="21"/>
        <v>Nov</v>
      </c>
      <c r="D217" s="9">
        <f t="shared" si="22"/>
        <v>2043</v>
      </c>
      <c r="E217" s="9" t="str">
        <f>INDEX(Seasons,MATCH($C217,'General Inputs'!$B$20:$B$31,0),1)</f>
        <v>Shoulder</v>
      </c>
      <c r="F217" s="22">
        <f>'Elec Futures'!H217</f>
        <v>0</v>
      </c>
      <c r="G217" s="22">
        <f>'Elec Futures'!I217</f>
        <v>0</v>
      </c>
      <c r="H217" s="131"/>
      <c r="I217" s="22">
        <f>IFERROR('NG Futures'!$I223*HR_Low_Plant/1000,"Data Missing")</f>
        <v>47.82409236050858</v>
      </c>
      <c r="J217" s="22">
        <f>IFERROR('NG Futures'!$I223*HR_High_Plant/1000,"Data Missing")</f>
        <v>32.934887177735554</v>
      </c>
      <c r="K217" s="131"/>
      <c r="L217" s="22">
        <f ca="1">IFERROR(INDEX(Spark_Spread_On,MATCH($C217,Adjustments!$H$3:$H$14,0),1)+IF(INDEX(Spark_Spread_On,MATCH($C217,Adjustments!$H$3:$H$14,0),1)&gt;1,INDEX(Spark_Spread_On,MATCH($C217,Adjustments!$H$3:$H$14,0),1)*(Inflation_Rate+BLS_Esc_Rate),-INDEX(Spark_Spread_On,MATCH($C217,Adjustments!$H$3:$H$14,0),1)*(Inflation_Rate+BLS_Esc_Rate)),"Data Missing")</f>
        <v>22.485829134622783</v>
      </c>
      <c r="M217" s="22">
        <f ca="1">IFERROR(INDEX(Spark_Spread_Off,MATCH($C217,Adjustments!$H$3:$H$14,0),1)+IF(INDEX(Spark_Spread_Off,MATCH($C217,Adjustments!$H$3:$H$14,0),1)&gt;1,INDEX(Spark_Spread_Off,MATCH($C217,Adjustments!$H$3:$H$14,0),1)*(Inflation_Rate+BLS_Esc_Rate),-INDEX(Spark_Spread_Off,MATCH($C217,Adjustments!$H$3:$H$14,0),1)*(Inflation_Rate+BLS_Esc_Rate)),"Data Missing")</f>
        <v>20.092402274981513</v>
      </c>
      <c r="N217" s="131"/>
      <c r="O217" s="24">
        <f t="shared" ca="1" si="19"/>
        <v>70.309921495131363</v>
      </c>
      <c r="P217" s="24">
        <f t="shared" ca="1" si="23"/>
        <v>53.027289452717071</v>
      </c>
    </row>
    <row r="218" spans="1:16" x14ac:dyDescent="0.25">
      <c r="A218" s="3">
        <v>216</v>
      </c>
      <c r="B218" s="19">
        <f t="shared" si="20"/>
        <v>52566</v>
      </c>
      <c r="C218" s="9" t="str">
        <f t="shared" si="21"/>
        <v>Dec</v>
      </c>
      <c r="D218" s="9">
        <f t="shared" si="22"/>
        <v>2043</v>
      </c>
      <c r="E218" s="9" t="str">
        <f>INDEX(Seasons,MATCH($C218,'General Inputs'!$B$20:$B$31,0),1)</f>
        <v>Winter</v>
      </c>
      <c r="F218" s="22">
        <f>'Elec Futures'!H218</f>
        <v>0</v>
      </c>
      <c r="G218" s="22">
        <f>'Elec Futures'!I218</f>
        <v>0</v>
      </c>
      <c r="H218" s="131"/>
      <c r="I218" s="22">
        <f>IFERROR('NG Futures'!$I224*HR_Low_Plant/1000,"Data Missing")</f>
        <v>78.034511058900762</v>
      </c>
      <c r="J218" s="22">
        <f>IFERROR('NG Futures'!$I224*HR_High_Plant/1000,"Data Missing")</f>
        <v>53.739813780907539</v>
      </c>
      <c r="K218" s="131"/>
      <c r="L218" s="22">
        <f ca="1">IFERROR(INDEX(Spark_Spread_On,MATCH($C218,Adjustments!$H$3:$H$14,0),1)+IF(INDEX(Spark_Spread_On,MATCH($C218,Adjustments!$H$3:$H$14,0),1)&gt;1,INDEX(Spark_Spread_On,MATCH($C218,Adjustments!$H$3:$H$14,0),1)*(Inflation_Rate+BLS_Esc_Rate),-INDEX(Spark_Spread_On,MATCH($C218,Adjustments!$H$3:$H$14,0),1)*(Inflation_Rate+BLS_Esc_Rate)),"Data Missing")</f>
        <v>11.430346668590539</v>
      </c>
      <c r="M218" s="22">
        <f ca="1">IFERROR(INDEX(Spark_Spread_Off,MATCH($C218,Adjustments!$H$3:$H$14,0),1)+IF(INDEX(Spark_Spread_Off,MATCH($C218,Adjustments!$H$3:$H$14,0),1)&gt;1,INDEX(Spark_Spread_Off,MATCH($C218,Adjustments!$H$3:$H$14,0),1)*(Inflation_Rate+BLS_Esc_Rate),-INDEX(Spark_Spread_Off,MATCH($C218,Adjustments!$H$3:$H$14,0),1)*(Inflation_Rate+BLS_Esc_Rate)),"Data Missing")</f>
        <v>16.391451942721986</v>
      </c>
      <c r="N218" s="131"/>
      <c r="O218" s="24">
        <f t="shared" ca="1" si="19"/>
        <v>89.464857727491307</v>
      </c>
      <c r="P218" s="24">
        <f t="shared" ca="1" si="23"/>
        <v>70.131265723629525</v>
      </c>
    </row>
    <row r="219" spans="1:16" x14ac:dyDescent="0.25">
      <c r="A219" s="3">
        <v>217</v>
      </c>
      <c r="B219" s="19">
        <f t="shared" si="20"/>
        <v>52597</v>
      </c>
      <c r="C219" s="9" t="str">
        <f t="shared" si="21"/>
        <v>Jan</v>
      </c>
      <c r="D219" s="9">
        <f t="shared" si="22"/>
        <v>2044</v>
      </c>
      <c r="E219" s="9" t="str">
        <f>INDEX(Seasons,MATCH($C219,'General Inputs'!$B$20:$B$31,0),1)</f>
        <v>Winter</v>
      </c>
      <c r="F219" s="22">
        <f>'Elec Futures'!H219</f>
        <v>0</v>
      </c>
      <c r="G219" s="22">
        <f>'Elec Futures'!I219</f>
        <v>0</v>
      </c>
      <c r="H219" s="131"/>
      <c r="I219" s="22">
        <f>IFERROR('NG Futures'!$I225*HR_Low_Plant/1000,"Data Missing")</f>
        <v>114.86627885053163</v>
      </c>
      <c r="J219" s="22">
        <f>IFERROR('NG Futures'!$I225*HR_High_Plant/1000,"Data Missing")</f>
        <v>79.104646794980795</v>
      </c>
      <c r="K219" s="131"/>
      <c r="L219" s="22">
        <f ca="1">IFERROR(INDEX(Spark_Spread_On,MATCH($C219,Adjustments!$H$3:$H$14,0),1)+IF(INDEX(Spark_Spread_On,MATCH($C219,Adjustments!$H$3:$H$14,0),1)&gt;1,INDEX(Spark_Spread_On,MATCH($C219,Adjustments!$H$3:$H$14,0),1)*(Inflation_Rate+BLS_Esc_Rate),-INDEX(Spark_Spread_On,MATCH($C219,Adjustments!$H$3:$H$14,0),1)*(Inflation_Rate+BLS_Esc_Rate)),"Data Missing")</f>
        <v>5.8685378940686794</v>
      </c>
      <c r="M219" s="22">
        <f ca="1">IFERROR(INDEX(Spark_Spread_Off,MATCH($C219,Adjustments!$H$3:$H$14,0),1)+IF(INDEX(Spark_Spread_Off,MATCH($C219,Adjustments!$H$3:$H$14,0),1)&gt;1,INDEX(Spark_Spread_Off,MATCH($C219,Adjustments!$H$3:$H$14,0),1)*(Inflation_Rate+BLS_Esc_Rate),-INDEX(Spark_Spread_Off,MATCH($C219,Adjustments!$H$3:$H$14,0),1)*(Inflation_Rate+BLS_Esc_Rate)),"Data Missing")</f>
        <v>16.761915371452087</v>
      </c>
      <c r="N219" s="131"/>
      <c r="O219" s="24">
        <f t="shared" ca="1" si="19"/>
        <v>120.73481674460031</v>
      </c>
      <c r="P219" s="24">
        <f t="shared" ca="1" si="23"/>
        <v>95.866562166432885</v>
      </c>
    </row>
    <row r="220" spans="1:16" x14ac:dyDescent="0.25">
      <c r="A220" s="3">
        <v>218</v>
      </c>
      <c r="B220" s="19">
        <f t="shared" si="20"/>
        <v>52628</v>
      </c>
      <c r="C220" s="9" t="str">
        <f t="shared" si="21"/>
        <v>Feb</v>
      </c>
      <c r="D220" s="9">
        <f t="shared" si="22"/>
        <v>2044</v>
      </c>
      <c r="E220" s="9" t="str">
        <f>INDEX(Seasons,MATCH($C220,'General Inputs'!$B$20:$B$31,0),1)</f>
        <v>Winter</v>
      </c>
      <c r="F220" s="22">
        <f>'Elec Futures'!H220</f>
        <v>0</v>
      </c>
      <c r="G220" s="22">
        <f>'Elec Futures'!I220</f>
        <v>0</v>
      </c>
      <c r="H220" s="131"/>
      <c r="I220" s="22">
        <f>IFERROR('NG Futures'!$I226*HR_Low_Plant/1000,"Data Missing")</f>
        <v>101.18085469185768</v>
      </c>
      <c r="J220" s="22">
        <f>IFERROR('NG Futures'!$I226*HR_High_Plant/1000,"Data Missing")</f>
        <v>69.679943086069898</v>
      </c>
      <c r="K220" s="131"/>
      <c r="L220" s="22">
        <f ca="1">IFERROR(INDEX(Spark_Spread_On,MATCH($C220,Adjustments!$H$3:$H$14,0),1)+IF(INDEX(Spark_Spread_On,MATCH($C220,Adjustments!$H$3:$H$14,0),1)&gt;1,INDEX(Spark_Spread_On,MATCH($C220,Adjustments!$H$3:$H$14,0),1)*(Inflation_Rate+BLS_Esc_Rate),-INDEX(Spark_Spread_On,MATCH($C220,Adjustments!$H$3:$H$14,0),1)*(Inflation_Rate+BLS_Esc_Rate)),"Data Missing")</f>
        <v>5.7233949711767895</v>
      </c>
      <c r="M220" s="22">
        <f ca="1">IFERROR(INDEX(Spark_Spread_Off,MATCH($C220,Adjustments!$H$3:$H$14,0),1)+IF(INDEX(Spark_Spread_Off,MATCH($C220,Adjustments!$H$3:$H$14,0),1)&gt;1,INDEX(Spark_Spread_Off,MATCH($C220,Adjustments!$H$3:$H$14,0),1)*(Inflation_Rate+BLS_Esc_Rate),-INDEX(Spark_Spread_Off,MATCH($C220,Adjustments!$H$3:$H$14,0),1)*(Inflation_Rate+BLS_Esc_Rate)),"Data Missing")</f>
        <v>15.231728502085021</v>
      </c>
      <c r="N220" s="131"/>
      <c r="O220" s="24">
        <f t="shared" ca="1" si="19"/>
        <v>106.90424966303446</v>
      </c>
      <c r="P220" s="24">
        <f t="shared" ca="1" si="23"/>
        <v>84.911671588154917</v>
      </c>
    </row>
    <row r="221" spans="1:16" x14ac:dyDescent="0.25">
      <c r="A221" s="3">
        <v>219</v>
      </c>
      <c r="B221" s="19">
        <f t="shared" si="20"/>
        <v>52657</v>
      </c>
      <c r="C221" s="9" t="str">
        <f t="shared" si="21"/>
        <v>Mar</v>
      </c>
      <c r="D221" s="9">
        <f t="shared" si="22"/>
        <v>2044</v>
      </c>
      <c r="E221" s="9" t="str">
        <f>INDEX(Seasons,MATCH($C221,'General Inputs'!$B$20:$B$31,0),1)</f>
        <v>Shoulder</v>
      </c>
      <c r="F221" s="22">
        <f>'Elec Futures'!H221</f>
        <v>0</v>
      </c>
      <c r="G221" s="22">
        <f>'Elec Futures'!I221</f>
        <v>0</v>
      </c>
      <c r="H221" s="131"/>
      <c r="I221" s="22">
        <f>IFERROR('NG Futures'!$I227*HR_Low_Plant/1000,"Data Missing")</f>
        <v>55.140116465594033</v>
      </c>
      <c r="J221" s="22">
        <f>IFERROR('NG Futures'!$I227*HR_High_Plant/1000,"Data Missing")</f>
        <v>37.973193533332029</v>
      </c>
      <c r="K221" s="131"/>
      <c r="L221" s="22">
        <f ca="1">IFERROR(INDEX(Spark_Spread_On,MATCH($C221,Adjustments!$H$3:$H$14,0),1)+IF(INDEX(Spark_Spread_On,MATCH($C221,Adjustments!$H$3:$H$14,0),1)&gt;1,INDEX(Spark_Spread_On,MATCH($C221,Adjustments!$H$3:$H$14,0),1)*(Inflation_Rate+BLS_Esc_Rate),-INDEX(Spark_Spread_On,MATCH($C221,Adjustments!$H$3:$H$14,0),1)*(Inflation_Rate+BLS_Esc_Rate)),"Data Missing")</f>
        <v>16.528539996336317</v>
      </c>
      <c r="M221" s="22">
        <f ca="1">IFERROR(INDEX(Spark_Spread_Off,MATCH($C221,Adjustments!$H$3:$H$14,0),1)+IF(INDEX(Spark_Spread_Off,MATCH($C221,Adjustments!$H$3:$H$14,0),1)&gt;1,INDEX(Spark_Spread_Off,MATCH($C221,Adjustments!$H$3:$H$14,0),1)*(Inflation_Rate+BLS_Esc_Rate),-INDEX(Spark_Spread_Off,MATCH($C221,Adjustments!$H$3:$H$14,0),1)*(Inflation_Rate+BLS_Esc_Rate)),"Data Missing")</f>
        <v>18.910646100880385</v>
      </c>
      <c r="N221" s="131"/>
      <c r="O221" s="24">
        <f t="shared" ca="1" si="19"/>
        <v>71.668656461930354</v>
      </c>
      <c r="P221" s="24">
        <f t="shared" ca="1" si="23"/>
        <v>56.883839634212414</v>
      </c>
    </row>
    <row r="222" spans="1:16" x14ac:dyDescent="0.25">
      <c r="A222" s="3">
        <v>220</v>
      </c>
      <c r="B222" s="19">
        <f t="shared" si="20"/>
        <v>52688</v>
      </c>
      <c r="C222" s="9" t="str">
        <f t="shared" si="21"/>
        <v>Apr</v>
      </c>
      <c r="D222" s="9">
        <f t="shared" si="22"/>
        <v>2044</v>
      </c>
      <c r="E222" s="9" t="str">
        <f>INDEX(Seasons,MATCH($C222,'General Inputs'!$B$20:$B$31,0),1)</f>
        <v>Shoulder</v>
      </c>
      <c r="F222" s="22">
        <f>'Elec Futures'!H222</f>
        <v>0</v>
      </c>
      <c r="G222" s="22">
        <f>'Elec Futures'!I222</f>
        <v>0</v>
      </c>
      <c r="H222" s="131"/>
      <c r="I222" s="22">
        <f>IFERROR('NG Futures'!$I228*HR_Low_Plant/1000,"Data Missing")</f>
        <v>45.265403730290203</v>
      </c>
      <c r="J222" s="22">
        <f>IFERROR('NG Futures'!$I228*HR_High_Plant/1000,"Data Missing")</f>
        <v>31.172802061222516</v>
      </c>
      <c r="K222" s="131"/>
      <c r="L222" s="22">
        <f ca="1">IFERROR(INDEX(Spark_Spread_On,MATCH($C222,Adjustments!$H$3:$H$14,0),1)+IF(INDEX(Spark_Spread_On,MATCH($C222,Adjustments!$H$3:$H$14,0),1)&gt;1,INDEX(Spark_Spread_On,MATCH($C222,Adjustments!$H$3:$H$14,0),1)*(Inflation_Rate+BLS_Esc_Rate),-INDEX(Spark_Spread_On,MATCH($C222,Adjustments!$H$3:$H$14,0),1)*(Inflation_Rate+BLS_Esc_Rate)),"Data Missing")</f>
        <v>22.38036101423787</v>
      </c>
      <c r="M222" s="22">
        <f ca="1">IFERROR(INDEX(Spark_Spread_Off,MATCH($C222,Adjustments!$H$3:$H$14,0),1)+IF(INDEX(Spark_Spread_Off,MATCH($C222,Adjustments!$H$3:$H$14,0),1)&gt;1,INDEX(Spark_Spread_Off,MATCH($C222,Adjustments!$H$3:$H$14,0),1)*(Inflation_Rate+BLS_Esc_Rate),-INDEX(Spark_Spread_Off,MATCH($C222,Adjustments!$H$3:$H$14,0),1)*(Inflation_Rate+BLS_Esc_Rate)),"Data Missing")</f>
        <v>18.258127438419208</v>
      </c>
      <c r="N222" s="131"/>
      <c r="O222" s="24">
        <f t="shared" ca="1" si="19"/>
        <v>67.645764744528066</v>
      </c>
      <c r="P222" s="24">
        <f t="shared" ca="1" si="23"/>
        <v>49.430929499641721</v>
      </c>
    </row>
    <row r="223" spans="1:16" x14ac:dyDescent="0.25">
      <c r="A223" s="3">
        <v>221</v>
      </c>
      <c r="B223" s="19">
        <f t="shared" si="20"/>
        <v>52718</v>
      </c>
      <c r="C223" s="9" t="str">
        <f t="shared" si="21"/>
        <v>May</v>
      </c>
      <c r="D223" s="9">
        <f t="shared" si="22"/>
        <v>2044</v>
      </c>
      <c r="E223" s="9" t="str">
        <f>INDEX(Seasons,MATCH($C223,'General Inputs'!$B$20:$B$31,0),1)</f>
        <v>Summer</v>
      </c>
      <c r="F223" s="22">
        <f>'Elec Futures'!H223</f>
        <v>0</v>
      </c>
      <c r="G223" s="22">
        <f>'Elec Futures'!I223</f>
        <v>0</v>
      </c>
      <c r="H223" s="131"/>
      <c r="I223" s="22">
        <f>IFERROR('NG Futures'!$I229*HR_Low_Plant/1000,"Data Missing")</f>
        <v>40.109074873072089</v>
      </c>
      <c r="J223" s="22">
        <f>IFERROR('NG Futures'!$I229*HR_High_Plant/1000,"Data Missing")</f>
        <v>27.621807138336862</v>
      </c>
      <c r="K223" s="131"/>
      <c r="L223" s="22">
        <f ca="1">IFERROR(INDEX(Spark_Spread_On,MATCH($C223,Adjustments!$H$3:$H$14,0),1)+IF(INDEX(Spark_Spread_On,MATCH($C223,Adjustments!$H$3:$H$14,0),1)&gt;1,INDEX(Spark_Spread_On,MATCH($C223,Adjustments!$H$3:$H$14,0),1)*(Inflation_Rate+BLS_Esc_Rate),-INDEX(Spark_Spread_On,MATCH($C223,Adjustments!$H$3:$H$14,0),1)*(Inflation_Rate+BLS_Esc_Rate)),"Data Missing")</f>
        <v>26.985629754035614</v>
      </c>
      <c r="M223" s="22">
        <f ca="1">IFERROR(INDEX(Spark_Spread_Off,MATCH($C223,Adjustments!$H$3:$H$14,0),1)+IF(INDEX(Spark_Spread_Off,MATCH($C223,Adjustments!$H$3:$H$14,0),1)&gt;1,INDEX(Spark_Spread_Off,MATCH($C223,Adjustments!$H$3:$H$14,0),1)*(Inflation_Rate+BLS_Esc_Rate),-INDEX(Spark_Spread_Off,MATCH($C223,Adjustments!$H$3:$H$14,0),1)*(Inflation_Rate+BLS_Esc_Rate)),"Data Missing")</f>
        <v>16.780298980176973</v>
      </c>
      <c r="N223" s="131"/>
      <c r="O223" s="24">
        <f t="shared" ca="1" si="19"/>
        <v>67.094704627107703</v>
      </c>
      <c r="P223" s="24">
        <f t="shared" ca="1" si="23"/>
        <v>44.402106118513835</v>
      </c>
    </row>
    <row r="224" spans="1:16" x14ac:dyDescent="0.25">
      <c r="A224" s="3">
        <v>222</v>
      </c>
      <c r="B224" s="19">
        <f t="shared" si="20"/>
        <v>52749</v>
      </c>
      <c r="C224" s="9" t="str">
        <f t="shared" si="21"/>
        <v>Jun</v>
      </c>
      <c r="D224" s="9">
        <f t="shared" si="22"/>
        <v>2044</v>
      </c>
      <c r="E224" s="9" t="str">
        <f>INDEX(Seasons,MATCH($C224,'General Inputs'!$B$20:$B$31,0),1)</f>
        <v>Summer</v>
      </c>
      <c r="F224" s="22">
        <f>'Elec Futures'!H224</f>
        <v>0</v>
      </c>
      <c r="G224" s="22">
        <f>'Elec Futures'!I224</f>
        <v>0</v>
      </c>
      <c r="H224" s="131"/>
      <c r="I224" s="22">
        <f>IFERROR('NG Futures'!$I230*HR_Low_Plant/1000,"Data Missing")</f>
        <v>40.455712007260544</v>
      </c>
      <c r="J224" s="22">
        <f>IFERROR('NG Futures'!$I230*HR_High_Plant/1000,"Data Missing")</f>
        <v>27.860524787593029</v>
      </c>
      <c r="K224" s="131"/>
      <c r="L224" s="22">
        <f ca="1">IFERROR(INDEX(Spark_Spread_On,MATCH($C224,Adjustments!$H$3:$H$14,0),1)+IF(INDEX(Spark_Spread_On,MATCH($C224,Adjustments!$H$3:$H$14,0),1)&gt;1,INDEX(Spark_Spread_On,MATCH($C224,Adjustments!$H$3:$H$14,0),1)*(Inflation_Rate+BLS_Esc_Rate),-INDEX(Spark_Spread_On,MATCH($C224,Adjustments!$H$3:$H$14,0),1)*(Inflation_Rate+BLS_Esc_Rate)),"Data Missing")</f>
        <v>32.794481155748485</v>
      </c>
      <c r="M224" s="22">
        <f ca="1">IFERROR(INDEX(Spark_Spread_Off,MATCH($C224,Adjustments!$H$3:$H$14,0),1)+IF(INDEX(Spark_Spread_Off,MATCH($C224,Adjustments!$H$3:$H$14,0),1)&gt;1,INDEX(Spark_Spread_Off,MATCH($C224,Adjustments!$H$3:$H$14,0),1)*(Inflation_Rate+BLS_Esc_Rate),-INDEX(Spark_Spread_Off,MATCH($C224,Adjustments!$H$3:$H$14,0),1)*(Inflation_Rate+BLS_Esc_Rate)),"Data Missing")</f>
        <v>16.358897919725173</v>
      </c>
      <c r="N224" s="131"/>
      <c r="O224" s="24">
        <f t="shared" ca="1" si="19"/>
        <v>73.25019316300903</v>
      </c>
      <c r="P224" s="24">
        <f t="shared" ca="1" si="23"/>
        <v>44.219422707318202</v>
      </c>
    </row>
    <row r="225" spans="1:16" x14ac:dyDescent="0.25">
      <c r="A225" s="3">
        <v>223</v>
      </c>
      <c r="B225" s="19">
        <f t="shared" si="20"/>
        <v>52779</v>
      </c>
      <c r="C225" s="9" t="str">
        <f t="shared" si="21"/>
        <v>Jul</v>
      </c>
      <c r="D225" s="9">
        <f t="shared" si="22"/>
        <v>2044</v>
      </c>
      <c r="E225" s="9" t="str">
        <f>INDEX(Seasons,MATCH($C225,'General Inputs'!$B$20:$B$31,0),1)</f>
        <v>Summer</v>
      </c>
      <c r="F225" s="22">
        <f>'Elec Futures'!H225</f>
        <v>0</v>
      </c>
      <c r="G225" s="22">
        <f>'Elec Futures'!I225</f>
        <v>0</v>
      </c>
      <c r="H225" s="131"/>
      <c r="I225" s="22">
        <f>IFERROR('NG Futures'!$I231*HR_Low_Plant/1000,"Data Missing")</f>
        <v>42.301136425793871</v>
      </c>
      <c r="J225" s="22">
        <f>IFERROR('NG Futures'!$I231*HR_High_Plant/1000,"Data Missing")</f>
        <v>29.131408185886691</v>
      </c>
      <c r="K225" s="131"/>
      <c r="L225" s="22">
        <f ca="1">IFERROR(INDEX(Spark_Spread_On,MATCH($C225,Adjustments!$H$3:$H$14,0),1)+IF(INDEX(Spark_Spread_On,MATCH($C225,Adjustments!$H$3:$H$14,0),1)&gt;1,INDEX(Spark_Spread_On,MATCH($C225,Adjustments!$H$3:$H$14,0),1)*(Inflation_Rate+BLS_Esc_Rate),-INDEX(Spark_Spread_On,MATCH($C225,Adjustments!$H$3:$H$14,0),1)*(Inflation_Rate+BLS_Esc_Rate)),"Data Missing")</f>
        <v>60.778479645687867</v>
      </c>
      <c r="M225" s="22">
        <f ca="1">IFERROR(INDEX(Spark_Spread_Off,MATCH($C225,Adjustments!$H$3:$H$14,0),1)+IF(INDEX(Spark_Spread_Off,MATCH($C225,Adjustments!$H$3:$H$14,0),1)&gt;1,INDEX(Spark_Spread_Off,MATCH($C225,Adjustments!$H$3:$H$14,0),1)*(Inflation_Rate+BLS_Esc_Rate),-INDEX(Spark_Spread_Off,MATCH($C225,Adjustments!$H$3:$H$14,0),1)*(Inflation_Rate+BLS_Esc_Rate)),"Data Missing")</f>
        <v>23.644134063075864</v>
      </c>
      <c r="N225" s="131"/>
      <c r="O225" s="24">
        <f t="shared" ca="1" si="19"/>
        <v>103.07961607148174</v>
      </c>
      <c r="P225" s="24">
        <f t="shared" ca="1" si="23"/>
        <v>52.775542248962552</v>
      </c>
    </row>
    <row r="226" spans="1:16" x14ac:dyDescent="0.25">
      <c r="A226" s="3">
        <v>224</v>
      </c>
      <c r="B226" s="19">
        <f t="shared" si="20"/>
        <v>52810</v>
      </c>
      <c r="C226" s="9" t="str">
        <f t="shared" si="21"/>
        <v>Aug</v>
      </c>
      <c r="D226" s="9">
        <f t="shared" si="22"/>
        <v>2044</v>
      </c>
      <c r="E226" s="9" t="str">
        <f>INDEX(Seasons,MATCH($C226,'General Inputs'!$B$20:$B$31,0),1)</f>
        <v>Summer</v>
      </c>
      <c r="F226" s="22">
        <f>'Elec Futures'!H226</f>
        <v>0</v>
      </c>
      <c r="G226" s="22">
        <f>'Elec Futures'!I226</f>
        <v>0</v>
      </c>
      <c r="H226" s="131"/>
      <c r="I226" s="22">
        <f>IFERROR('NG Futures'!$I232*HR_Low_Plant/1000,"Data Missing")</f>
        <v>42.96056877115862</v>
      </c>
      <c r="J226" s="22">
        <f>IFERROR('NG Futures'!$I232*HR_High_Plant/1000,"Data Missing")</f>
        <v>29.58553765963018</v>
      </c>
      <c r="K226" s="131"/>
      <c r="L226" s="22">
        <f ca="1">IFERROR(INDEX(Spark_Spread_On,MATCH($C226,Adjustments!$H$3:$H$14,0),1)+IF(INDEX(Spark_Spread_On,MATCH($C226,Adjustments!$H$3:$H$14,0),1)&gt;1,INDEX(Spark_Spread_On,MATCH($C226,Adjustments!$H$3:$H$14,0),1)*(Inflation_Rate+BLS_Esc_Rate),-INDEX(Spark_Spread_On,MATCH($C226,Adjustments!$H$3:$H$14,0),1)*(Inflation_Rate+BLS_Esc_Rate)),"Data Missing")</f>
        <v>48.689674403055982</v>
      </c>
      <c r="M226" s="22">
        <f ca="1">IFERROR(INDEX(Spark_Spread_Off,MATCH($C226,Adjustments!$H$3:$H$14,0),1)+IF(INDEX(Spark_Spread_Off,MATCH($C226,Adjustments!$H$3:$H$14,0),1)&gt;1,INDEX(Spark_Spread_Off,MATCH($C226,Adjustments!$H$3:$H$14,0),1)*(Inflation_Rate+BLS_Esc_Rate),-INDEX(Spark_Spread_Off,MATCH($C226,Adjustments!$H$3:$H$14,0),1)*(Inflation_Rate+BLS_Esc_Rate)),"Data Missing")</f>
        <v>19.08142511960634</v>
      </c>
      <c r="N226" s="131"/>
      <c r="O226" s="24">
        <f t="shared" ca="1" si="19"/>
        <v>91.650243174214609</v>
      </c>
      <c r="P226" s="24">
        <f t="shared" ca="1" si="23"/>
        <v>48.66696277923652</v>
      </c>
    </row>
    <row r="227" spans="1:16" x14ac:dyDescent="0.25">
      <c r="A227" s="3">
        <v>225</v>
      </c>
      <c r="B227" s="19">
        <f t="shared" si="20"/>
        <v>52841</v>
      </c>
      <c r="C227" s="9" t="str">
        <f t="shared" si="21"/>
        <v>Sep</v>
      </c>
      <c r="D227" s="9">
        <f t="shared" si="22"/>
        <v>2044</v>
      </c>
      <c r="E227" s="9" t="str">
        <f>INDEX(Seasons,MATCH($C227,'General Inputs'!$B$20:$B$31,0),1)</f>
        <v>Summer</v>
      </c>
      <c r="F227" s="22">
        <f>'Elec Futures'!H227</f>
        <v>0</v>
      </c>
      <c r="G227" s="22">
        <f>'Elec Futures'!I227</f>
        <v>0</v>
      </c>
      <c r="H227" s="131"/>
      <c r="I227" s="22">
        <f>IFERROR('NG Futures'!$I233*HR_Low_Plant/1000,"Data Missing")</f>
        <v>36.729100435869768</v>
      </c>
      <c r="J227" s="22">
        <f>IFERROR('NG Futures'!$I233*HR_High_Plant/1000,"Data Missing")</f>
        <v>25.294129366352379</v>
      </c>
      <c r="K227" s="131"/>
      <c r="L227" s="22">
        <f ca="1">IFERROR(INDEX(Spark_Spread_On,MATCH($C227,Adjustments!$H$3:$H$14,0),1)+IF(INDEX(Spark_Spread_On,MATCH($C227,Adjustments!$H$3:$H$14,0),1)&gt;1,INDEX(Spark_Spread_On,MATCH($C227,Adjustments!$H$3:$H$14,0),1)*(Inflation_Rate+BLS_Esc_Rate),-INDEX(Spark_Spread_On,MATCH($C227,Adjustments!$H$3:$H$14,0),1)*(Inflation_Rate+BLS_Esc_Rate)),"Data Missing")</f>
        <v>33.852941430998882</v>
      </c>
      <c r="M227" s="22">
        <f ca="1">IFERROR(INDEX(Spark_Spread_Off,MATCH($C227,Adjustments!$H$3:$H$14,0),1)+IF(INDEX(Spark_Spread_Off,MATCH($C227,Adjustments!$H$3:$H$14,0),1)&gt;1,INDEX(Spark_Spread_Off,MATCH($C227,Adjustments!$H$3:$H$14,0),1)*(Inflation_Rate+BLS_Esc_Rate),-INDEX(Spark_Spread_Off,MATCH($C227,Adjustments!$H$3:$H$14,0),1)*(Inflation_Rate+BLS_Esc_Rate)),"Data Missing")</f>
        <v>17.63955138931739</v>
      </c>
      <c r="N227" s="131"/>
      <c r="O227" s="24">
        <f t="shared" ca="1" si="19"/>
        <v>70.58204186686865</v>
      </c>
      <c r="P227" s="24">
        <f t="shared" ca="1" si="23"/>
        <v>42.933680755669769</v>
      </c>
    </row>
    <row r="228" spans="1:16" x14ac:dyDescent="0.25">
      <c r="A228" s="3">
        <v>226</v>
      </c>
      <c r="B228" s="19">
        <f t="shared" si="20"/>
        <v>52871</v>
      </c>
      <c r="C228" s="9" t="str">
        <f t="shared" si="21"/>
        <v>Oct</v>
      </c>
      <c r="D228" s="9">
        <f t="shared" si="22"/>
        <v>2044</v>
      </c>
      <c r="E228" s="9" t="str">
        <f>INDEX(Seasons,MATCH($C228,'General Inputs'!$B$20:$B$31,0),1)</f>
        <v>Shoulder</v>
      </c>
      <c r="F228" s="22">
        <f>'Elec Futures'!H228</f>
        <v>0</v>
      </c>
      <c r="G228" s="22">
        <f>'Elec Futures'!I228</f>
        <v>0</v>
      </c>
      <c r="H228" s="131"/>
      <c r="I228" s="22">
        <f>IFERROR('NG Futures'!$I234*HR_Low_Plant/1000,"Data Missing")</f>
        <v>37.420255871149976</v>
      </c>
      <c r="J228" s="22">
        <f>IFERROR('NG Futures'!$I234*HR_High_Plant/1000,"Data Missing")</f>
        <v>25.770105493858129</v>
      </c>
      <c r="K228" s="131"/>
      <c r="L228" s="22">
        <f ca="1">IFERROR(INDEX(Spark_Spread_On,MATCH($C228,Adjustments!$H$3:$H$14,0),1)+IF(INDEX(Spark_Spread_On,MATCH($C228,Adjustments!$H$3:$H$14,0),1)&gt;1,INDEX(Spark_Spread_On,MATCH($C228,Adjustments!$H$3:$H$14,0),1)*(Inflation_Rate+BLS_Esc_Rate),-INDEX(Spark_Spread_On,MATCH($C228,Adjustments!$H$3:$H$14,0),1)*(Inflation_Rate+BLS_Esc_Rate)),"Data Missing")</f>
        <v>29.40002941858754</v>
      </c>
      <c r="M228" s="22">
        <f ca="1">IFERROR(INDEX(Spark_Spread_Off,MATCH($C228,Adjustments!$H$3:$H$14,0),1)+IF(INDEX(Spark_Spread_Off,MATCH($C228,Adjustments!$H$3:$H$14,0),1)&gt;1,INDEX(Spark_Spread_Off,MATCH($C228,Adjustments!$H$3:$H$14,0),1)*(Inflation_Rate+BLS_Esc_Rate),-INDEX(Spark_Spread_Off,MATCH($C228,Adjustments!$H$3:$H$14,0),1)*(Inflation_Rate+BLS_Esc_Rate)),"Data Missing")</f>
        <v>20.150009298264372</v>
      </c>
      <c r="N228" s="131"/>
      <c r="O228" s="24">
        <f t="shared" ca="1" si="19"/>
        <v>66.820285289737512</v>
      </c>
      <c r="P228" s="24">
        <f t="shared" ca="1" si="23"/>
        <v>45.920114792122504</v>
      </c>
    </row>
    <row r="229" spans="1:16" x14ac:dyDescent="0.25">
      <c r="A229" s="3">
        <v>227</v>
      </c>
      <c r="B229" s="19">
        <f t="shared" si="20"/>
        <v>52902</v>
      </c>
      <c r="C229" s="9" t="str">
        <f t="shared" si="21"/>
        <v>Nov</v>
      </c>
      <c r="D229" s="9">
        <f t="shared" si="22"/>
        <v>2044</v>
      </c>
      <c r="E229" s="9" t="str">
        <f>INDEX(Seasons,MATCH($C229,'General Inputs'!$B$20:$B$31,0),1)</f>
        <v>Shoulder</v>
      </c>
      <c r="F229" s="22">
        <f>'Elec Futures'!H229</f>
        <v>0</v>
      </c>
      <c r="G229" s="22">
        <f>'Elec Futures'!I229</f>
        <v>0</v>
      </c>
      <c r="H229" s="131"/>
      <c r="I229" s="22">
        <f>IFERROR('NG Futures'!$I235*HR_Low_Plant/1000,"Data Missing")</f>
        <v>48.827122561527467</v>
      </c>
      <c r="J229" s="22">
        <f>IFERROR('NG Futures'!$I235*HR_High_Plant/1000,"Data Missing")</f>
        <v>33.625641249080928</v>
      </c>
      <c r="K229" s="131"/>
      <c r="L229" s="22">
        <f ca="1">IFERROR(INDEX(Spark_Spread_On,MATCH($C229,Adjustments!$H$3:$H$14,0),1)+IF(INDEX(Spark_Spread_On,MATCH($C229,Adjustments!$H$3:$H$14,0),1)&gt;1,INDEX(Spark_Spread_On,MATCH($C229,Adjustments!$H$3:$H$14,0),1)*(Inflation_Rate+BLS_Esc_Rate),-INDEX(Spark_Spread_On,MATCH($C229,Adjustments!$H$3:$H$14,0),1)*(Inflation_Rate+BLS_Esc_Rate)),"Data Missing")</f>
        <v>22.485829134622783</v>
      </c>
      <c r="M229" s="22">
        <f ca="1">IFERROR(INDEX(Spark_Spread_Off,MATCH($C229,Adjustments!$H$3:$H$14,0),1)+IF(INDEX(Spark_Spread_Off,MATCH($C229,Adjustments!$H$3:$H$14,0),1)&gt;1,INDEX(Spark_Spread_Off,MATCH($C229,Adjustments!$H$3:$H$14,0),1)*(Inflation_Rate+BLS_Esc_Rate),-INDEX(Spark_Spread_Off,MATCH($C229,Adjustments!$H$3:$H$14,0),1)*(Inflation_Rate+BLS_Esc_Rate)),"Data Missing")</f>
        <v>20.092402274981513</v>
      </c>
      <c r="N229" s="131"/>
      <c r="O229" s="24">
        <f t="shared" ca="1" si="19"/>
        <v>71.31295169615025</v>
      </c>
      <c r="P229" s="24">
        <f t="shared" ca="1" si="23"/>
        <v>53.718043524062438</v>
      </c>
    </row>
    <row r="230" spans="1:16" x14ac:dyDescent="0.25">
      <c r="A230" s="3">
        <v>228</v>
      </c>
      <c r="B230" s="19">
        <f t="shared" si="20"/>
        <v>52932</v>
      </c>
      <c r="C230" s="9" t="str">
        <f t="shared" si="21"/>
        <v>Dec</v>
      </c>
      <c r="D230" s="9">
        <f t="shared" si="22"/>
        <v>2044</v>
      </c>
      <c r="E230" s="9" t="str">
        <f>INDEX(Seasons,MATCH($C230,'General Inputs'!$B$20:$B$31,0),1)</f>
        <v>Winter</v>
      </c>
      <c r="F230" s="22">
        <f>'Elec Futures'!H230</f>
        <v>0</v>
      </c>
      <c r="G230" s="22">
        <f>'Elec Futures'!I230</f>
        <v>0</v>
      </c>
      <c r="H230" s="131"/>
      <c r="I230" s="22">
        <f>IFERROR('NG Futures'!$I236*HR_Low_Plant/1000,"Data Missing")</f>
        <v>79.671154170155148</v>
      </c>
      <c r="J230" s="22">
        <f>IFERROR('NG Futures'!$I236*HR_High_Plant/1000,"Data Missing")</f>
        <v>54.866916326065137</v>
      </c>
      <c r="K230" s="131"/>
      <c r="L230" s="22">
        <f ca="1">IFERROR(INDEX(Spark_Spread_On,MATCH($C230,Adjustments!$H$3:$H$14,0),1)+IF(INDEX(Spark_Spread_On,MATCH($C230,Adjustments!$H$3:$H$14,0),1)&gt;1,INDEX(Spark_Spread_On,MATCH($C230,Adjustments!$H$3:$H$14,0),1)*(Inflation_Rate+BLS_Esc_Rate),-INDEX(Spark_Spread_On,MATCH($C230,Adjustments!$H$3:$H$14,0),1)*(Inflation_Rate+BLS_Esc_Rate)),"Data Missing")</f>
        <v>11.430346668590539</v>
      </c>
      <c r="M230" s="22">
        <f ca="1">IFERROR(INDEX(Spark_Spread_Off,MATCH($C230,Adjustments!$H$3:$H$14,0),1)+IF(INDEX(Spark_Spread_Off,MATCH($C230,Adjustments!$H$3:$H$14,0),1)&gt;1,INDEX(Spark_Spread_Off,MATCH($C230,Adjustments!$H$3:$H$14,0),1)*(Inflation_Rate+BLS_Esc_Rate),-INDEX(Spark_Spread_Off,MATCH($C230,Adjustments!$H$3:$H$14,0),1)*(Inflation_Rate+BLS_Esc_Rate)),"Data Missing")</f>
        <v>16.391451942721986</v>
      </c>
      <c r="N230" s="131"/>
      <c r="O230" s="24">
        <f t="shared" ca="1" si="19"/>
        <v>91.101500838745693</v>
      </c>
      <c r="P230" s="24">
        <f t="shared" ca="1" si="23"/>
        <v>71.258368268787123</v>
      </c>
    </row>
    <row r="231" spans="1:16" x14ac:dyDescent="0.25">
      <c r="A231" s="3">
        <v>229</v>
      </c>
      <c r="B231" s="19">
        <f t="shared" si="20"/>
        <v>52963</v>
      </c>
      <c r="C231" s="9" t="str">
        <f t="shared" si="21"/>
        <v>Jan</v>
      </c>
      <c r="D231" s="9">
        <f t="shared" si="22"/>
        <v>2045</v>
      </c>
      <c r="E231" s="9" t="str">
        <f>INDEX(Seasons,MATCH($C231,'General Inputs'!$B$20:$B$31,0),1)</f>
        <v>Winter</v>
      </c>
      <c r="F231" s="22">
        <f>'Elec Futures'!H231</f>
        <v>0</v>
      </c>
      <c r="G231" s="22">
        <f>'Elec Futures'!I231</f>
        <v>0</v>
      </c>
      <c r="H231" s="131"/>
      <c r="I231" s="22">
        <f>IFERROR('NG Futures'!$I237*HR_Low_Plant/1000,"Data Missing")</f>
        <v>116.54432586625113</v>
      </c>
      <c r="J231" s="22">
        <f>IFERROR('NG Futures'!$I237*HR_High_Plant/1000,"Data Missing")</f>
        <v>80.260262854038402</v>
      </c>
      <c r="K231" s="131"/>
      <c r="L231" s="22">
        <f ca="1">IFERROR(INDEX(Spark_Spread_On,MATCH($C231,Adjustments!$H$3:$H$14,0),1)+IF(INDEX(Spark_Spread_On,MATCH($C231,Adjustments!$H$3:$H$14,0),1)&gt;1,INDEX(Spark_Spread_On,MATCH($C231,Adjustments!$H$3:$H$14,0),1)*(Inflation_Rate+BLS_Esc_Rate),-INDEX(Spark_Spread_On,MATCH($C231,Adjustments!$H$3:$H$14,0),1)*(Inflation_Rate+BLS_Esc_Rate)),"Data Missing")</f>
        <v>5.8685378940686794</v>
      </c>
      <c r="M231" s="22">
        <f ca="1">IFERROR(INDEX(Spark_Spread_Off,MATCH($C231,Adjustments!$H$3:$H$14,0),1)+IF(INDEX(Spark_Spread_Off,MATCH($C231,Adjustments!$H$3:$H$14,0),1)&gt;1,INDEX(Spark_Spread_Off,MATCH($C231,Adjustments!$H$3:$H$14,0),1)*(Inflation_Rate+BLS_Esc_Rate),-INDEX(Spark_Spread_Off,MATCH($C231,Adjustments!$H$3:$H$14,0),1)*(Inflation_Rate+BLS_Esc_Rate)),"Data Missing")</f>
        <v>16.761915371452087</v>
      </c>
      <c r="N231" s="131"/>
      <c r="O231" s="24">
        <f t="shared" ca="1" si="19"/>
        <v>122.41286376031981</v>
      </c>
      <c r="P231" s="24">
        <f t="shared" ca="1" si="23"/>
        <v>97.022178225490492</v>
      </c>
    </row>
    <row r="232" spans="1:16" x14ac:dyDescent="0.25">
      <c r="A232" s="3">
        <v>230</v>
      </c>
      <c r="B232" s="19">
        <f t="shared" si="20"/>
        <v>52994</v>
      </c>
      <c r="C232" s="9" t="str">
        <f t="shared" si="21"/>
        <v>Feb</v>
      </c>
      <c r="D232" s="9">
        <f t="shared" si="22"/>
        <v>2045</v>
      </c>
      <c r="E232" s="9" t="str">
        <f>INDEX(Seasons,MATCH($C232,'General Inputs'!$B$20:$B$31,0),1)</f>
        <v>Winter</v>
      </c>
      <c r="F232" s="22">
        <f>'Elec Futures'!H232</f>
        <v>0</v>
      </c>
      <c r="G232" s="22">
        <f>'Elec Futures'!I232</f>
        <v>0</v>
      </c>
      <c r="H232" s="131"/>
      <c r="I232" s="22">
        <f>IFERROR('NG Futures'!$I238*HR_Low_Plant/1000,"Data Missing")</f>
        <v>102.65897545073199</v>
      </c>
      <c r="J232" s="22">
        <f>IFERROR('NG Futures'!$I238*HR_High_Plant/1000,"Data Missing")</f>
        <v>70.697876475408904</v>
      </c>
      <c r="K232" s="131"/>
      <c r="L232" s="22">
        <f ca="1">IFERROR(INDEX(Spark_Spread_On,MATCH($C232,Adjustments!$H$3:$H$14,0),1)+IF(INDEX(Spark_Spread_On,MATCH($C232,Adjustments!$H$3:$H$14,0),1)&gt;1,INDEX(Spark_Spread_On,MATCH($C232,Adjustments!$H$3:$H$14,0),1)*(Inflation_Rate+BLS_Esc_Rate),-INDEX(Spark_Spread_On,MATCH($C232,Adjustments!$H$3:$H$14,0),1)*(Inflation_Rate+BLS_Esc_Rate)),"Data Missing")</f>
        <v>5.7233949711767895</v>
      </c>
      <c r="M232" s="22">
        <f ca="1">IFERROR(INDEX(Spark_Spread_Off,MATCH($C232,Adjustments!$H$3:$H$14,0),1)+IF(INDEX(Spark_Spread_Off,MATCH($C232,Adjustments!$H$3:$H$14,0),1)&gt;1,INDEX(Spark_Spread_Off,MATCH($C232,Adjustments!$H$3:$H$14,0),1)*(Inflation_Rate+BLS_Esc_Rate),-INDEX(Spark_Spread_Off,MATCH($C232,Adjustments!$H$3:$H$14,0),1)*(Inflation_Rate+BLS_Esc_Rate)),"Data Missing")</f>
        <v>15.231728502085021</v>
      </c>
      <c r="N232" s="131"/>
      <c r="O232" s="24">
        <f t="shared" ca="1" si="19"/>
        <v>108.38237042190877</v>
      </c>
      <c r="P232" s="24">
        <f t="shared" ca="1" si="23"/>
        <v>85.929604977493923</v>
      </c>
    </row>
    <row r="233" spans="1:16" x14ac:dyDescent="0.25">
      <c r="A233" s="3">
        <v>231</v>
      </c>
      <c r="B233" s="19">
        <f t="shared" si="20"/>
        <v>53022</v>
      </c>
      <c r="C233" s="9" t="str">
        <f t="shared" si="21"/>
        <v>Mar</v>
      </c>
      <c r="D233" s="9">
        <f t="shared" si="22"/>
        <v>2045</v>
      </c>
      <c r="E233" s="9" t="str">
        <f>INDEX(Seasons,MATCH($C233,'General Inputs'!$B$20:$B$31,0),1)</f>
        <v>Shoulder</v>
      </c>
      <c r="F233" s="22">
        <f>'Elec Futures'!H233</f>
        <v>0</v>
      </c>
      <c r="G233" s="22">
        <f>'Elec Futures'!I233</f>
        <v>0</v>
      </c>
      <c r="H233" s="131"/>
      <c r="I233" s="22">
        <f>IFERROR('NG Futures'!$I239*HR_Low_Plant/1000,"Data Missing")</f>
        <v>55.945641888785595</v>
      </c>
      <c r="J233" s="22">
        <f>IFERROR('NG Futures'!$I239*HR_High_Plant/1000,"Data Missing")</f>
        <v>38.527932528306017</v>
      </c>
      <c r="K233" s="131"/>
      <c r="L233" s="22">
        <f ca="1">IFERROR(INDEX(Spark_Spread_On,MATCH($C233,Adjustments!$H$3:$H$14,0),1)+IF(INDEX(Spark_Spread_On,MATCH($C233,Adjustments!$H$3:$H$14,0),1)&gt;1,INDEX(Spark_Spread_On,MATCH($C233,Adjustments!$H$3:$H$14,0),1)*(Inflation_Rate+BLS_Esc_Rate),-INDEX(Spark_Spread_On,MATCH($C233,Adjustments!$H$3:$H$14,0),1)*(Inflation_Rate+BLS_Esc_Rate)),"Data Missing")</f>
        <v>16.528539996336317</v>
      </c>
      <c r="M233" s="22">
        <f ca="1">IFERROR(INDEX(Spark_Spread_Off,MATCH($C233,Adjustments!$H$3:$H$14,0),1)+IF(INDEX(Spark_Spread_Off,MATCH($C233,Adjustments!$H$3:$H$14,0),1)&gt;1,INDEX(Spark_Spread_Off,MATCH($C233,Adjustments!$H$3:$H$14,0),1)*(Inflation_Rate+BLS_Esc_Rate),-INDEX(Spark_Spread_Off,MATCH($C233,Adjustments!$H$3:$H$14,0),1)*(Inflation_Rate+BLS_Esc_Rate)),"Data Missing")</f>
        <v>18.910646100880385</v>
      </c>
      <c r="N233" s="131"/>
      <c r="O233" s="24">
        <f t="shared" ca="1" si="19"/>
        <v>72.474181885121908</v>
      </c>
      <c r="P233" s="24">
        <f t="shared" ca="1" si="23"/>
        <v>57.438578629186402</v>
      </c>
    </row>
    <row r="234" spans="1:16" x14ac:dyDescent="0.25">
      <c r="A234" s="3">
        <v>232</v>
      </c>
      <c r="B234" s="19">
        <f t="shared" si="20"/>
        <v>53053</v>
      </c>
      <c r="C234" s="9" t="str">
        <f t="shared" si="21"/>
        <v>Apr</v>
      </c>
      <c r="D234" s="9">
        <f t="shared" si="22"/>
        <v>2045</v>
      </c>
      <c r="E234" s="9" t="str">
        <f>INDEX(Seasons,MATCH($C234,'General Inputs'!$B$20:$B$31,0),1)</f>
        <v>Shoulder</v>
      </c>
      <c r="F234" s="22">
        <f>'Elec Futures'!H234</f>
        <v>0</v>
      </c>
      <c r="G234" s="22">
        <f>'Elec Futures'!I234</f>
        <v>0</v>
      </c>
      <c r="H234" s="131"/>
      <c r="I234" s="22">
        <f>IFERROR('NG Futures'!$I240*HR_Low_Plant/1000,"Data Missing")</f>
        <v>45.926672436868472</v>
      </c>
      <c r="J234" s="22">
        <f>IFERROR('NG Futures'!$I240*HR_High_Plant/1000,"Data Missing")</f>
        <v>31.628196176831636</v>
      </c>
      <c r="K234" s="131"/>
      <c r="L234" s="22">
        <f ca="1">IFERROR(INDEX(Spark_Spread_On,MATCH($C234,Adjustments!$H$3:$H$14,0),1)+IF(INDEX(Spark_Spread_On,MATCH($C234,Adjustments!$H$3:$H$14,0),1)&gt;1,INDEX(Spark_Spread_On,MATCH($C234,Adjustments!$H$3:$H$14,0),1)*(Inflation_Rate+BLS_Esc_Rate),-INDEX(Spark_Spread_On,MATCH($C234,Adjustments!$H$3:$H$14,0),1)*(Inflation_Rate+BLS_Esc_Rate)),"Data Missing")</f>
        <v>22.38036101423787</v>
      </c>
      <c r="M234" s="22">
        <f ca="1">IFERROR(INDEX(Spark_Spread_Off,MATCH($C234,Adjustments!$H$3:$H$14,0),1)+IF(INDEX(Spark_Spread_Off,MATCH($C234,Adjustments!$H$3:$H$14,0),1)&gt;1,INDEX(Spark_Spread_Off,MATCH($C234,Adjustments!$H$3:$H$14,0),1)*(Inflation_Rate+BLS_Esc_Rate),-INDEX(Spark_Spread_Off,MATCH($C234,Adjustments!$H$3:$H$14,0),1)*(Inflation_Rate+BLS_Esc_Rate)),"Data Missing")</f>
        <v>18.258127438419208</v>
      </c>
      <c r="N234" s="131"/>
      <c r="O234" s="24">
        <f t="shared" ca="1" si="19"/>
        <v>68.307033451106349</v>
      </c>
      <c r="P234" s="24">
        <f t="shared" ca="1" si="23"/>
        <v>49.886323615250845</v>
      </c>
    </row>
    <row r="235" spans="1:16" x14ac:dyDescent="0.25">
      <c r="A235" s="3">
        <v>233</v>
      </c>
      <c r="B235" s="19">
        <f t="shared" si="20"/>
        <v>53083</v>
      </c>
      <c r="C235" s="9" t="str">
        <f t="shared" si="21"/>
        <v>May</v>
      </c>
      <c r="D235" s="9">
        <f t="shared" si="22"/>
        <v>2045</v>
      </c>
      <c r="E235" s="9" t="str">
        <f>INDEX(Seasons,MATCH($C235,'General Inputs'!$B$20:$B$31,0),1)</f>
        <v>Summer</v>
      </c>
      <c r="F235" s="22">
        <f>'Elec Futures'!H235</f>
        <v>0</v>
      </c>
      <c r="G235" s="22">
        <f>'Elec Futures'!I235</f>
        <v>0</v>
      </c>
      <c r="H235" s="131"/>
      <c r="I235" s="22">
        <f>IFERROR('NG Futures'!$I241*HR_Low_Plant/1000,"Data Missing")</f>
        <v>40.695016317920384</v>
      </c>
      <c r="J235" s="22">
        <f>IFERROR('NG Futures'!$I241*HR_High_Plant/1000,"Data Missing")</f>
        <v>28.025325834172552</v>
      </c>
      <c r="K235" s="131"/>
      <c r="L235" s="22">
        <f ca="1">IFERROR(INDEX(Spark_Spread_On,MATCH($C235,Adjustments!$H$3:$H$14,0),1)+IF(INDEX(Spark_Spread_On,MATCH($C235,Adjustments!$H$3:$H$14,0),1)&gt;1,INDEX(Spark_Spread_On,MATCH($C235,Adjustments!$H$3:$H$14,0),1)*(Inflation_Rate+BLS_Esc_Rate),-INDEX(Spark_Spread_On,MATCH($C235,Adjustments!$H$3:$H$14,0),1)*(Inflation_Rate+BLS_Esc_Rate)),"Data Missing")</f>
        <v>26.985629754035614</v>
      </c>
      <c r="M235" s="22">
        <f ca="1">IFERROR(INDEX(Spark_Spread_Off,MATCH($C235,Adjustments!$H$3:$H$14,0),1)+IF(INDEX(Spark_Spread_Off,MATCH($C235,Adjustments!$H$3:$H$14,0),1)&gt;1,INDEX(Spark_Spread_Off,MATCH($C235,Adjustments!$H$3:$H$14,0),1)*(Inflation_Rate+BLS_Esc_Rate),-INDEX(Spark_Spread_Off,MATCH($C235,Adjustments!$H$3:$H$14,0),1)*(Inflation_Rate+BLS_Esc_Rate)),"Data Missing")</f>
        <v>16.780298980176973</v>
      </c>
      <c r="N235" s="131"/>
      <c r="O235" s="24">
        <f t="shared" ca="1" si="19"/>
        <v>67.680646071956005</v>
      </c>
      <c r="P235" s="24">
        <f t="shared" ca="1" si="23"/>
        <v>44.805624814349528</v>
      </c>
    </row>
    <row r="236" spans="1:16" x14ac:dyDescent="0.25">
      <c r="A236" s="3">
        <v>234</v>
      </c>
      <c r="B236" s="19">
        <f t="shared" si="20"/>
        <v>53114</v>
      </c>
      <c r="C236" s="9" t="str">
        <f t="shared" si="21"/>
        <v>Jun</v>
      </c>
      <c r="D236" s="9">
        <f t="shared" si="22"/>
        <v>2045</v>
      </c>
      <c r="E236" s="9" t="str">
        <f>INDEX(Seasons,MATCH($C236,'General Inputs'!$B$20:$B$31,0),1)</f>
        <v>Summer</v>
      </c>
      <c r="F236" s="22">
        <f>'Elec Futures'!H236</f>
        <v>0</v>
      </c>
      <c r="G236" s="22">
        <f>'Elec Futures'!I236</f>
        <v>0</v>
      </c>
      <c r="H236" s="131"/>
      <c r="I236" s="22">
        <f>IFERROR('NG Futures'!$I242*HR_Low_Plant/1000,"Data Missing")</f>
        <v>41.046717370034834</v>
      </c>
      <c r="J236" s="22">
        <f>IFERROR('NG Futures'!$I242*HR_High_Plant/1000,"Data Missing")</f>
        <v>28.267530837967776</v>
      </c>
      <c r="K236" s="131"/>
      <c r="L236" s="22">
        <f ca="1">IFERROR(INDEX(Spark_Spread_On,MATCH($C236,Adjustments!$H$3:$H$14,0),1)+IF(INDEX(Spark_Spread_On,MATCH($C236,Adjustments!$H$3:$H$14,0),1)&gt;1,INDEX(Spark_Spread_On,MATCH($C236,Adjustments!$H$3:$H$14,0),1)*(Inflation_Rate+BLS_Esc_Rate),-INDEX(Spark_Spread_On,MATCH($C236,Adjustments!$H$3:$H$14,0),1)*(Inflation_Rate+BLS_Esc_Rate)),"Data Missing")</f>
        <v>32.794481155748485</v>
      </c>
      <c r="M236" s="22">
        <f ca="1">IFERROR(INDEX(Spark_Spread_Off,MATCH($C236,Adjustments!$H$3:$H$14,0),1)+IF(INDEX(Spark_Spread_Off,MATCH($C236,Adjustments!$H$3:$H$14,0),1)&gt;1,INDEX(Spark_Spread_Off,MATCH($C236,Adjustments!$H$3:$H$14,0),1)*(Inflation_Rate+BLS_Esc_Rate),-INDEX(Spark_Spread_Off,MATCH($C236,Adjustments!$H$3:$H$14,0),1)*(Inflation_Rate+BLS_Esc_Rate)),"Data Missing")</f>
        <v>16.358897919725173</v>
      </c>
      <c r="N236" s="131"/>
      <c r="O236" s="24">
        <f t="shared" ca="1" si="19"/>
        <v>73.841198525783312</v>
      </c>
      <c r="P236" s="24">
        <f t="shared" ca="1" si="23"/>
        <v>44.626428757692949</v>
      </c>
    </row>
    <row r="237" spans="1:16" x14ac:dyDescent="0.25">
      <c r="A237" s="3">
        <v>235</v>
      </c>
      <c r="B237" s="19">
        <f t="shared" si="20"/>
        <v>53144</v>
      </c>
      <c r="C237" s="9" t="str">
        <f t="shared" si="21"/>
        <v>Jul</v>
      </c>
      <c r="D237" s="9">
        <f t="shared" si="22"/>
        <v>2045</v>
      </c>
      <c r="E237" s="9" t="str">
        <f>INDEX(Seasons,MATCH($C237,'General Inputs'!$B$20:$B$31,0),1)</f>
        <v>Summer</v>
      </c>
      <c r="F237" s="22">
        <f>'Elec Futures'!H237</f>
        <v>0</v>
      </c>
      <c r="G237" s="22">
        <f>'Elec Futures'!I237</f>
        <v>0</v>
      </c>
      <c r="H237" s="131"/>
      <c r="I237" s="22">
        <f>IFERROR('NG Futures'!$I243*HR_Low_Plant/1000,"Data Missing")</f>
        <v>42.919101040397713</v>
      </c>
      <c r="J237" s="22">
        <f>IFERROR('NG Futures'!$I243*HR_High_Plant/1000,"Data Missing")</f>
        <v>29.556980190649231</v>
      </c>
      <c r="K237" s="131"/>
      <c r="L237" s="22">
        <f ca="1">IFERROR(INDEX(Spark_Spread_On,MATCH($C237,Adjustments!$H$3:$H$14,0),1)+IF(INDEX(Spark_Spread_On,MATCH($C237,Adjustments!$H$3:$H$14,0),1)&gt;1,INDEX(Spark_Spread_On,MATCH($C237,Adjustments!$H$3:$H$14,0),1)*(Inflation_Rate+BLS_Esc_Rate),-INDEX(Spark_Spread_On,MATCH($C237,Adjustments!$H$3:$H$14,0),1)*(Inflation_Rate+BLS_Esc_Rate)),"Data Missing")</f>
        <v>60.778479645687867</v>
      </c>
      <c r="M237" s="22">
        <f ca="1">IFERROR(INDEX(Spark_Spread_Off,MATCH($C237,Adjustments!$H$3:$H$14,0),1)+IF(INDEX(Spark_Spread_Off,MATCH($C237,Adjustments!$H$3:$H$14,0),1)&gt;1,INDEX(Spark_Spread_Off,MATCH($C237,Adjustments!$H$3:$H$14,0),1)*(Inflation_Rate+BLS_Esc_Rate),-INDEX(Spark_Spread_Off,MATCH($C237,Adjustments!$H$3:$H$14,0),1)*(Inflation_Rate+BLS_Esc_Rate)),"Data Missing")</f>
        <v>23.644134063075864</v>
      </c>
      <c r="N237" s="131"/>
      <c r="O237" s="24">
        <f t="shared" ca="1" si="19"/>
        <v>103.69758068608559</v>
      </c>
      <c r="P237" s="24">
        <f t="shared" ca="1" si="23"/>
        <v>53.201114253725095</v>
      </c>
    </row>
    <row r="238" spans="1:16" x14ac:dyDescent="0.25">
      <c r="A238" s="3">
        <v>236</v>
      </c>
      <c r="B238" s="19">
        <f t="shared" si="20"/>
        <v>53175</v>
      </c>
      <c r="C238" s="9" t="str">
        <f t="shared" si="21"/>
        <v>Aug</v>
      </c>
      <c r="D238" s="9">
        <f t="shared" si="22"/>
        <v>2045</v>
      </c>
      <c r="E238" s="9" t="str">
        <f>INDEX(Seasons,MATCH($C238,'General Inputs'!$B$20:$B$31,0),1)</f>
        <v>Summer</v>
      </c>
      <c r="F238" s="22">
        <f>'Elec Futures'!H238</f>
        <v>0</v>
      </c>
      <c r="G238" s="22">
        <f>'Elec Futures'!I238</f>
        <v>0</v>
      </c>
      <c r="H238" s="131"/>
      <c r="I238" s="22">
        <f>IFERROR('NG Futures'!$I244*HR_Low_Plant/1000,"Data Missing")</f>
        <v>43.588166835111402</v>
      </c>
      <c r="J238" s="22">
        <f>IFERROR('NG Futures'!$I244*HR_High_Plant/1000,"Data Missing")</f>
        <v>30.017743905666929</v>
      </c>
      <c r="K238" s="131"/>
      <c r="L238" s="22">
        <f ca="1">IFERROR(INDEX(Spark_Spread_On,MATCH($C238,Adjustments!$H$3:$H$14,0),1)+IF(INDEX(Spark_Spread_On,MATCH($C238,Adjustments!$H$3:$H$14,0),1)&gt;1,INDEX(Spark_Spread_On,MATCH($C238,Adjustments!$H$3:$H$14,0),1)*(Inflation_Rate+BLS_Esc_Rate),-INDEX(Spark_Spread_On,MATCH($C238,Adjustments!$H$3:$H$14,0),1)*(Inflation_Rate+BLS_Esc_Rate)),"Data Missing")</f>
        <v>48.689674403055982</v>
      </c>
      <c r="M238" s="22">
        <f ca="1">IFERROR(INDEX(Spark_Spread_Off,MATCH($C238,Adjustments!$H$3:$H$14,0),1)+IF(INDEX(Spark_Spread_Off,MATCH($C238,Adjustments!$H$3:$H$14,0),1)&gt;1,INDEX(Spark_Spread_Off,MATCH($C238,Adjustments!$H$3:$H$14,0),1)*(Inflation_Rate+BLS_Esc_Rate),-INDEX(Spark_Spread_Off,MATCH($C238,Adjustments!$H$3:$H$14,0),1)*(Inflation_Rate+BLS_Esc_Rate)),"Data Missing")</f>
        <v>19.08142511960634</v>
      </c>
      <c r="N238" s="131"/>
      <c r="O238" s="24">
        <f t="shared" ca="1" si="19"/>
        <v>92.277841238167383</v>
      </c>
      <c r="P238" s="24">
        <f t="shared" ca="1" si="23"/>
        <v>49.09916902527327</v>
      </c>
    </row>
    <row r="239" spans="1:16" x14ac:dyDescent="0.25">
      <c r="A239" s="3">
        <v>237</v>
      </c>
      <c r="B239" s="19">
        <f t="shared" si="20"/>
        <v>53206</v>
      </c>
      <c r="C239" s="9" t="str">
        <f t="shared" si="21"/>
        <v>Sep</v>
      </c>
      <c r="D239" s="9">
        <f t="shared" si="22"/>
        <v>2045</v>
      </c>
      <c r="E239" s="9" t="str">
        <f>INDEX(Seasons,MATCH($C239,'General Inputs'!$B$20:$B$31,0),1)</f>
        <v>Summer</v>
      </c>
      <c r="F239" s="22">
        <f>'Elec Futures'!H239</f>
        <v>0</v>
      </c>
      <c r="G239" s="22">
        <f>'Elec Futures'!I239</f>
        <v>0</v>
      </c>
      <c r="H239" s="131"/>
      <c r="I239" s="22">
        <f>IFERROR('NG Futures'!$I245*HR_Low_Plant/1000,"Data Missing")</f>
        <v>37.265664847925557</v>
      </c>
      <c r="J239" s="22">
        <f>IFERROR('NG Futures'!$I245*HR_High_Plant/1000,"Data Missing")</f>
        <v>25.663643715760884</v>
      </c>
      <c r="K239" s="131"/>
      <c r="L239" s="22">
        <f ca="1">IFERROR(INDEX(Spark_Spread_On,MATCH($C239,Adjustments!$H$3:$H$14,0),1)+IF(INDEX(Spark_Spread_On,MATCH($C239,Adjustments!$H$3:$H$14,0),1)&gt;1,INDEX(Spark_Spread_On,MATCH($C239,Adjustments!$H$3:$H$14,0),1)*(Inflation_Rate+BLS_Esc_Rate),-INDEX(Spark_Spread_On,MATCH($C239,Adjustments!$H$3:$H$14,0),1)*(Inflation_Rate+BLS_Esc_Rate)),"Data Missing")</f>
        <v>33.852941430998882</v>
      </c>
      <c r="M239" s="22">
        <f ca="1">IFERROR(INDEX(Spark_Spread_Off,MATCH($C239,Adjustments!$H$3:$H$14,0),1)+IF(INDEX(Spark_Spread_Off,MATCH($C239,Adjustments!$H$3:$H$14,0),1)&gt;1,INDEX(Spark_Spread_Off,MATCH($C239,Adjustments!$H$3:$H$14,0),1)*(Inflation_Rate+BLS_Esc_Rate),-INDEX(Spark_Spread_Off,MATCH($C239,Adjustments!$H$3:$H$14,0),1)*(Inflation_Rate+BLS_Esc_Rate)),"Data Missing")</f>
        <v>17.63955138931739</v>
      </c>
      <c r="N239" s="131"/>
      <c r="O239" s="24">
        <f t="shared" ca="1" si="19"/>
        <v>71.118606278924432</v>
      </c>
      <c r="P239" s="24">
        <f t="shared" ca="1" si="23"/>
        <v>43.303195105078274</v>
      </c>
    </row>
    <row r="240" spans="1:16" x14ac:dyDescent="0.25">
      <c r="A240" s="3">
        <v>238</v>
      </c>
      <c r="B240" s="19">
        <f t="shared" si="20"/>
        <v>53236</v>
      </c>
      <c r="C240" s="9" t="str">
        <f t="shared" si="21"/>
        <v>Oct</v>
      </c>
      <c r="D240" s="9">
        <f t="shared" si="22"/>
        <v>2045</v>
      </c>
      <c r="E240" s="9" t="str">
        <f>INDEX(Seasons,MATCH($C240,'General Inputs'!$B$20:$B$31,0),1)</f>
        <v>Shoulder</v>
      </c>
      <c r="F240" s="22">
        <f>'Elec Futures'!H240</f>
        <v>0</v>
      </c>
      <c r="G240" s="22">
        <f>'Elec Futures'!I240</f>
        <v>0</v>
      </c>
      <c r="H240" s="131"/>
      <c r="I240" s="22">
        <f>IFERROR('NG Futures'!$I246*HR_Low_Plant/1000,"Data Missing")</f>
        <v>37.966917165660533</v>
      </c>
      <c r="J240" s="22">
        <f>IFERROR('NG Futures'!$I246*HR_High_Plant/1000,"Data Missing")</f>
        <v>26.146573235753163</v>
      </c>
      <c r="K240" s="131"/>
      <c r="L240" s="22">
        <f ca="1">IFERROR(INDEX(Spark_Spread_On,MATCH($C240,Adjustments!$H$3:$H$14,0),1)+IF(INDEX(Spark_Spread_On,MATCH($C240,Adjustments!$H$3:$H$14,0),1)&gt;1,INDEX(Spark_Spread_On,MATCH($C240,Adjustments!$H$3:$H$14,0),1)*(Inflation_Rate+BLS_Esc_Rate),-INDEX(Spark_Spread_On,MATCH($C240,Adjustments!$H$3:$H$14,0),1)*(Inflation_Rate+BLS_Esc_Rate)),"Data Missing")</f>
        <v>29.40002941858754</v>
      </c>
      <c r="M240" s="22">
        <f ca="1">IFERROR(INDEX(Spark_Spread_Off,MATCH($C240,Adjustments!$H$3:$H$14,0),1)+IF(INDEX(Spark_Spread_Off,MATCH($C240,Adjustments!$H$3:$H$14,0),1)&gt;1,INDEX(Spark_Spread_Off,MATCH($C240,Adjustments!$H$3:$H$14,0),1)*(Inflation_Rate+BLS_Esc_Rate),-INDEX(Spark_Spread_Off,MATCH($C240,Adjustments!$H$3:$H$14,0),1)*(Inflation_Rate+BLS_Esc_Rate)),"Data Missing")</f>
        <v>20.150009298264372</v>
      </c>
      <c r="N240" s="131"/>
      <c r="O240" s="24">
        <f t="shared" ca="1" si="19"/>
        <v>67.366946584248069</v>
      </c>
      <c r="P240" s="24">
        <f t="shared" ca="1" si="23"/>
        <v>46.296582534017531</v>
      </c>
    </row>
    <row r="241" spans="1:16" x14ac:dyDescent="0.25">
      <c r="A241" s="3">
        <v>239</v>
      </c>
      <c r="B241" s="19">
        <f t="shared" si="20"/>
        <v>53267</v>
      </c>
      <c r="C241" s="9" t="str">
        <f t="shared" si="21"/>
        <v>Nov</v>
      </c>
      <c r="D241" s="9">
        <f t="shared" si="22"/>
        <v>2045</v>
      </c>
      <c r="E241" s="9" t="str">
        <f>INDEX(Seasons,MATCH($C241,'General Inputs'!$B$20:$B$31,0),1)</f>
        <v>Shoulder</v>
      </c>
      <c r="F241" s="22">
        <f>'Elec Futures'!H241</f>
        <v>0</v>
      </c>
      <c r="G241" s="22">
        <f>'Elec Futures'!I241</f>
        <v>0</v>
      </c>
      <c r="H241" s="131"/>
      <c r="I241" s="22">
        <f>IFERROR('NG Futures'!$I247*HR_Low_Plant/1000,"Data Missing")</f>
        <v>49.540423350239848</v>
      </c>
      <c r="J241" s="22">
        <f>IFERROR('NG Futures'!$I247*HR_High_Plant/1000,"Data Missing")</f>
        <v>34.116868156701891</v>
      </c>
      <c r="K241" s="131"/>
      <c r="L241" s="22">
        <f ca="1">IFERROR(INDEX(Spark_Spread_On,MATCH($C241,Adjustments!$H$3:$H$14,0),1)+IF(INDEX(Spark_Spread_On,MATCH($C241,Adjustments!$H$3:$H$14,0),1)&gt;1,INDEX(Spark_Spread_On,MATCH($C241,Adjustments!$H$3:$H$14,0),1)*(Inflation_Rate+BLS_Esc_Rate),-INDEX(Spark_Spread_On,MATCH($C241,Adjustments!$H$3:$H$14,0),1)*(Inflation_Rate+BLS_Esc_Rate)),"Data Missing")</f>
        <v>22.485829134622783</v>
      </c>
      <c r="M241" s="22">
        <f ca="1">IFERROR(INDEX(Spark_Spread_Off,MATCH($C241,Adjustments!$H$3:$H$14,0),1)+IF(INDEX(Spark_Spread_Off,MATCH($C241,Adjustments!$H$3:$H$14,0),1)&gt;1,INDEX(Spark_Spread_Off,MATCH($C241,Adjustments!$H$3:$H$14,0),1)*(Inflation_Rate+BLS_Esc_Rate),-INDEX(Spark_Spread_Off,MATCH($C241,Adjustments!$H$3:$H$14,0),1)*(Inflation_Rate+BLS_Esc_Rate)),"Data Missing")</f>
        <v>20.092402274981513</v>
      </c>
      <c r="N241" s="131"/>
      <c r="O241" s="24">
        <f t="shared" ca="1" si="19"/>
        <v>72.026252484862624</v>
      </c>
      <c r="P241" s="24">
        <f t="shared" ca="1" si="23"/>
        <v>54.209270431683407</v>
      </c>
    </row>
    <row r="242" spans="1:16" x14ac:dyDescent="0.25">
      <c r="A242" s="3">
        <v>240</v>
      </c>
      <c r="B242" s="19">
        <f t="shared" si="20"/>
        <v>53297</v>
      </c>
      <c r="C242" s="9" t="str">
        <f t="shared" si="21"/>
        <v>Dec</v>
      </c>
      <c r="D242" s="9">
        <f t="shared" si="22"/>
        <v>2045</v>
      </c>
      <c r="E242" s="9" t="str">
        <f>INDEX(Seasons,MATCH($C242,'General Inputs'!$B$20:$B$31,0),1)</f>
        <v>Winter</v>
      </c>
      <c r="F242" s="22">
        <f>'Elec Futures'!H242</f>
        <v>0</v>
      </c>
      <c r="G242" s="22">
        <f>'Elec Futures'!I242</f>
        <v>0</v>
      </c>
      <c r="H242" s="131"/>
      <c r="I242" s="22">
        <f>IFERROR('NG Futures'!$I248*HR_Low_Plant/1000,"Data Missing")</f>
        <v>80.835046165543289</v>
      </c>
      <c r="J242" s="22">
        <f>IFERROR('NG Futures'!$I248*HR_High_Plant/1000,"Data Missing")</f>
        <v>55.668450650359645</v>
      </c>
      <c r="K242" s="131"/>
      <c r="L242" s="22">
        <f ca="1">IFERROR(INDEX(Spark_Spread_On,MATCH($C242,Adjustments!$H$3:$H$14,0),1)+IF(INDEX(Spark_Spread_On,MATCH($C242,Adjustments!$H$3:$H$14,0),1)&gt;1,INDEX(Spark_Spread_On,MATCH($C242,Adjustments!$H$3:$H$14,0),1)*(Inflation_Rate+BLS_Esc_Rate),-INDEX(Spark_Spread_On,MATCH($C242,Adjustments!$H$3:$H$14,0),1)*(Inflation_Rate+BLS_Esc_Rate)),"Data Missing")</f>
        <v>11.430346668590539</v>
      </c>
      <c r="M242" s="22">
        <f ca="1">IFERROR(INDEX(Spark_Spread_Off,MATCH($C242,Adjustments!$H$3:$H$14,0),1)+IF(INDEX(Spark_Spread_Off,MATCH($C242,Adjustments!$H$3:$H$14,0),1)&gt;1,INDEX(Spark_Spread_Off,MATCH($C242,Adjustments!$H$3:$H$14,0),1)*(Inflation_Rate+BLS_Esc_Rate),-INDEX(Spark_Spread_Off,MATCH($C242,Adjustments!$H$3:$H$14,0),1)*(Inflation_Rate+BLS_Esc_Rate)),"Data Missing")</f>
        <v>16.391451942721986</v>
      </c>
      <c r="N242" s="131"/>
      <c r="O242" s="24">
        <f t="shared" ca="1" si="19"/>
        <v>92.265392834133834</v>
      </c>
      <c r="P242" s="24">
        <f t="shared" ca="1" si="23"/>
        <v>72.059902593081631</v>
      </c>
    </row>
    <row r="243" spans="1:16" x14ac:dyDescent="0.25">
      <c r="A243" s="3">
        <v>241</v>
      </c>
      <c r="B243" s="19">
        <f t="shared" si="20"/>
        <v>53328</v>
      </c>
      <c r="C243" s="9" t="str">
        <f t="shared" si="21"/>
        <v>Jan</v>
      </c>
      <c r="D243" s="9">
        <f t="shared" si="22"/>
        <v>2046</v>
      </c>
      <c r="E243" s="9" t="str">
        <f>INDEX(Seasons,MATCH($C243,'General Inputs'!$B$20:$B$31,0),1)</f>
        <v>Winter</v>
      </c>
      <c r="F243" s="22">
        <f>'Elec Futures'!H243</f>
        <v>0</v>
      </c>
      <c r="G243" s="22">
        <f>'Elec Futures'!I243</f>
        <v>0</v>
      </c>
      <c r="H243" s="131"/>
      <c r="I243" s="22">
        <f>IFERROR('NG Futures'!$I249*HR_Low_Plant/1000,"Data Missing")</f>
        <v>121.1614066746375</v>
      </c>
      <c r="J243" s="22">
        <f>IFERROR('NG Futures'!$I249*HR_High_Plant/1000,"Data Missing")</f>
        <v>83.439895294700506</v>
      </c>
      <c r="K243" s="131"/>
      <c r="L243" s="22">
        <f ca="1">IFERROR(INDEX(Spark_Spread_On,MATCH($C243,Adjustments!$H$3:$H$14,0),1)+IF(INDEX(Spark_Spread_On,MATCH($C243,Adjustments!$H$3:$H$14,0),1)&gt;1,INDEX(Spark_Spread_On,MATCH($C243,Adjustments!$H$3:$H$14,0),1)*(Inflation_Rate+BLS_Esc_Rate),-INDEX(Spark_Spread_On,MATCH($C243,Adjustments!$H$3:$H$14,0),1)*(Inflation_Rate+BLS_Esc_Rate)),"Data Missing")</f>
        <v>5.8685378940686794</v>
      </c>
      <c r="M243" s="22">
        <f ca="1">IFERROR(INDEX(Spark_Spread_Off,MATCH($C243,Adjustments!$H$3:$H$14,0),1)+IF(INDEX(Spark_Spread_Off,MATCH($C243,Adjustments!$H$3:$H$14,0),1)&gt;1,INDEX(Spark_Spread_Off,MATCH($C243,Adjustments!$H$3:$H$14,0),1)*(Inflation_Rate+BLS_Esc_Rate),-INDEX(Spark_Spread_Off,MATCH($C243,Adjustments!$H$3:$H$14,0),1)*(Inflation_Rate+BLS_Esc_Rate)),"Data Missing")</f>
        <v>16.761915371452087</v>
      </c>
      <c r="N243" s="131"/>
      <c r="O243" s="24">
        <f t="shared" ca="1" si="19"/>
        <v>127.02994456870618</v>
      </c>
      <c r="P243" s="24">
        <f t="shared" ca="1" si="23"/>
        <v>100.2018106661526</v>
      </c>
    </row>
    <row r="244" spans="1:16" x14ac:dyDescent="0.25">
      <c r="A244" s="3">
        <v>242</v>
      </c>
      <c r="B244" s="19">
        <f t="shared" si="20"/>
        <v>53359</v>
      </c>
      <c r="C244" s="9" t="str">
        <f t="shared" si="21"/>
        <v>Feb</v>
      </c>
      <c r="D244" s="9">
        <f t="shared" si="22"/>
        <v>2046</v>
      </c>
      <c r="E244" s="9" t="str">
        <f>INDEX(Seasons,MATCH($C244,'General Inputs'!$B$20:$B$31,0),1)</f>
        <v>Winter</v>
      </c>
      <c r="F244" s="22">
        <f>'Elec Futures'!H244</f>
        <v>0</v>
      </c>
      <c r="G244" s="22">
        <f>'Elec Futures'!I244</f>
        <v>0</v>
      </c>
      <c r="H244" s="131"/>
      <c r="I244" s="22">
        <f>IFERROR('NG Futures'!$I250*HR_Low_Plant/1000,"Data Missing")</f>
        <v>106.72596697382117</v>
      </c>
      <c r="J244" s="22">
        <f>IFERROR('NG Futures'!$I250*HR_High_Plant/1000,"Data Missing")</f>
        <v>73.498680429115637</v>
      </c>
      <c r="K244" s="131"/>
      <c r="L244" s="22">
        <f ca="1">IFERROR(INDEX(Spark_Spread_On,MATCH($C244,Adjustments!$H$3:$H$14,0),1)+IF(INDEX(Spark_Spread_On,MATCH($C244,Adjustments!$H$3:$H$14,0),1)&gt;1,INDEX(Spark_Spread_On,MATCH($C244,Adjustments!$H$3:$H$14,0),1)*(Inflation_Rate+BLS_Esc_Rate),-INDEX(Spark_Spread_On,MATCH($C244,Adjustments!$H$3:$H$14,0),1)*(Inflation_Rate+BLS_Esc_Rate)),"Data Missing")</f>
        <v>5.7233949711767895</v>
      </c>
      <c r="M244" s="22">
        <f ca="1">IFERROR(INDEX(Spark_Spread_Off,MATCH($C244,Adjustments!$H$3:$H$14,0),1)+IF(INDEX(Spark_Spread_Off,MATCH($C244,Adjustments!$H$3:$H$14,0),1)&gt;1,INDEX(Spark_Spread_Off,MATCH($C244,Adjustments!$H$3:$H$14,0),1)*(Inflation_Rate+BLS_Esc_Rate),-INDEX(Spark_Spread_Off,MATCH($C244,Adjustments!$H$3:$H$14,0),1)*(Inflation_Rate+BLS_Esc_Rate)),"Data Missing")</f>
        <v>15.231728502085021</v>
      </c>
      <c r="N244" s="131"/>
      <c r="O244" s="24">
        <f ca="1">IFERROR(I244+L244, "Data Missing")</f>
        <v>112.44936194499796</v>
      </c>
      <c r="P244" s="24">
        <f t="shared" ca="1" si="23"/>
        <v>88.730408931200657</v>
      </c>
    </row>
    <row r="245" spans="1:16" x14ac:dyDescent="0.25">
      <c r="A245" s="3">
        <v>243</v>
      </c>
      <c r="B245" s="19">
        <f t="shared" si="20"/>
        <v>53387</v>
      </c>
      <c r="C245" s="9" t="str">
        <f t="shared" si="21"/>
        <v>Mar</v>
      </c>
      <c r="D245" s="9">
        <f t="shared" si="22"/>
        <v>2046</v>
      </c>
      <c r="E245" s="9" t="str">
        <f>INDEX(Seasons,MATCH($C245,'General Inputs'!$B$20:$B$31,0),1)</f>
        <v>Shoulder</v>
      </c>
      <c r="F245" s="22">
        <f>'Elec Futures'!H245</f>
        <v>0</v>
      </c>
      <c r="G245" s="22">
        <f>'Elec Futures'!I245</f>
        <v>0</v>
      </c>
      <c r="H245" s="131"/>
      <c r="I245" s="22">
        <f>IFERROR('NG Futures'!$I251*HR_Low_Plant/1000,"Data Missing")</f>
        <v>58.16201362166607</v>
      </c>
      <c r="J245" s="22">
        <f>IFERROR('NG Futures'!$I251*HR_High_Plant/1000,"Data Missing")</f>
        <v>40.054275201285172</v>
      </c>
      <c r="K245" s="131"/>
      <c r="L245" s="22">
        <f ca="1">IFERROR(INDEX(Spark_Spread_On,MATCH($C245,Adjustments!$H$3:$H$14,0),1)+IF(INDEX(Spark_Spread_On,MATCH($C245,Adjustments!$H$3:$H$14,0),1)&gt;1,INDEX(Spark_Spread_On,MATCH($C245,Adjustments!$H$3:$H$14,0),1)*(Inflation_Rate+BLS_Esc_Rate),-INDEX(Spark_Spread_On,MATCH($C245,Adjustments!$H$3:$H$14,0),1)*(Inflation_Rate+BLS_Esc_Rate)),"Data Missing")</f>
        <v>16.528539996336317</v>
      </c>
      <c r="M245" s="22">
        <f ca="1">IFERROR(INDEX(Spark_Spread_Off,MATCH($C245,Adjustments!$H$3:$H$14,0),1)+IF(INDEX(Spark_Spread_Off,MATCH($C245,Adjustments!$H$3:$H$14,0),1)&gt;1,INDEX(Spark_Spread_Off,MATCH($C245,Adjustments!$H$3:$H$14,0),1)*(Inflation_Rate+BLS_Esc_Rate),-INDEX(Spark_Spread_Off,MATCH($C245,Adjustments!$H$3:$H$14,0),1)*(Inflation_Rate+BLS_Esc_Rate)),"Data Missing")</f>
        <v>18.910646100880385</v>
      </c>
      <c r="N245" s="131"/>
      <c r="O245" s="24">
        <f t="shared" ca="1" si="19"/>
        <v>74.690553618002383</v>
      </c>
      <c r="P245" s="24">
        <f t="shared" ca="1" si="23"/>
        <v>58.964921302165557</v>
      </c>
    </row>
    <row r="246" spans="1:16" x14ac:dyDescent="0.25">
      <c r="A246" s="3">
        <v>244</v>
      </c>
      <c r="B246" s="19">
        <f t="shared" si="20"/>
        <v>53418</v>
      </c>
      <c r="C246" s="9" t="str">
        <f t="shared" si="21"/>
        <v>Apr</v>
      </c>
      <c r="D246" s="9">
        <f t="shared" si="22"/>
        <v>2046</v>
      </c>
      <c r="E246" s="9" t="str">
        <f>INDEX(Seasons,MATCH($C246,'General Inputs'!$B$20:$B$31,0),1)</f>
        <v>Shoulder</v>
      </c>
      <c r="F246" s="22">
        <f>'Elec Futures'!H246</f>
        <v>0</v>
      </c>
      <c r="G246" s="22">
        <f>'Elec Futures'!I246</f>
        <v>0</v>
      </c>
      <c r="H246" s="131"/>
      <c r="I246" s="22">
        <f>IFERROR('NG Futures'!$I252*HR_Low_Plant/1000,"Data Missing")</f>
        <v>47.746127449587526</v>
      </c>
      <c r="J246" s="22">
        <f>IFERROR('NG Futures'!$I252*HR_High_Plant/1000,"Data Missing")</f>
        <v>32.881195295291647</v>
      </c>
      <c r="K246" s="131"/>
      <c r="L246" s="22">
        <f ca="1">IFERROR(INDEX(Spark_Spread_On,MATCH($C246,Adjustments!$H$3:$H$14,0),1)+IF(INDEX(Spark_Spread_On,MATCH($C246,Adjustments!$H$3:$H$14,0),1)&gt;1,INDEX(Spark_Spread_On,MATCH($C246,Adjustments!$H$3:$H$14,0),1)*(Inflation_Rate+BLS_Esc_Rate),-INDEX(Spark_Spread_On,MATCH($C246,Adjustments!$H$3:$H$14,0),1)*(Inflation_Rate+BLS_Esc_Rate)),"Data Missing")</f>
        <v>22.38036101423787</v>
      </c>
      <c r="M246" s="22">
        <f ca="1">IFERROR(INDEX(Spark_Spread_Off,MATCH($C246,Adjustments!$H$3:$H$14,0),1)+IF(INDEX(Spark_Spread_Off,MATCH($C246,Adjustments!$H$3:$H$14,0),1)&gt;1,INDEX(Spark_Spread_Off,MATCH($C246,Adjustments!$H$3:$H$14,0),1)*(Inflation_Rate+BLS_Esc_Rate),-INDEX(Spark_Spread_Off,MATCH($C246,Adjustments!$H$3:$H$14,0),1)*(Inflation_Rate+BLS_Esc_Rate)),"Data Missing")</f>
        <v>18.258127438419208</v>
      </c>
      <c r="N246" s="131"/>
      <c r="O246" s="24">
        <f t="shared" ca="1" si="19"/>
        <v>70.126488463825396</v>
      </c>
      <c r="P246" s="24">
        <f t="shared" ca="1" si="23"/>
        <v>51.139322733710856</v>
      </c>
    </row>
    <row r="247" spans="1:16" x14ac:dyDescent="0.25">
      <c r="A247" s="3">
        <v>245</v>
      </c>
      <c r="B247" s="19">
        <f t="shared" si="20"/>
        <v>53448</v>
      </c>
      <c r="C247" s="9" t="str">
        <f t="shared" si="21"/>
        <v>May</v>
      </c>
      <c r="D247" s="9">
        <f t="shared" si="22"/>
        <v>2046</v>
      </c>
      <c r="E247" s="9" t="str">
        <f>INDEX(Seasons,MATCH($C247,'General Inputs'!$B$20:$B$31,0),1)</f>
        <v>Summer</v>
      </c>
      <c r="F247" s="22">
        <f>'Elec Futures'!H247</f>
        <v>0</v>
      </c>
      <c r="G247" s="22">
        <f>'Elec Futures'!I247</f>
        <v>0</v>
      </c>
      <c r="H247" s="131"/>
      <c r="I247" s="22">
        <f>IFERROR('NG Futures'!$I253*HR_Low_Plant/1000,"Data Missing")</f>
        <v>42.307211312759257</v>
      </c>
      <c r="J247" s="22">
        <f>IFERROR('NG Futures'!$I253*HR_High_Plant/1000,"Data Missing")</f>
        <v>29.135591761715261</v>
      </c>
      <c r="K247" s="131"/>
      <c r="L247" s="22">
        <f ca="1">IFERROR(INDEX(Spark_Spread_On,MATCH($C247,Adjustments!$H$3:$H$14,0),1)+IF(INDEX(Spark_Spread_On,MATCH($C247,Adjustments!$H$3:$H$14,0),1)&gt;1,INDEX(Spark_Spread_On,MATCH($C247,Adjustments!$H$3:$H$14,0),1)*(Inflation_Rate+BLS_Esc_Rate),-INDEX(Spark_Spread_On,MATCH($C247,Adjustments!$H$3:$H$14,0),1)*(Inflation_Rate+BLS_Esc_Rate)),"Data Missing")</f>
        <v>26.985629754035614</v>
      </c>
      <c r="M247" s="22">
        <f ca="1">IFERROR(INDEX(Spark_Spread_Off,MATCH($C247,Adjustments!$H$3:$H$14,0),1)+IF(INDEX(Spark_Spread_Off,MATCH($C247,Adjustments!$H$3:$H$14,0),1)&gt;1,INDEX(Spark_Spread_Off,MATCH($C247,Adjustments!$H$3:$H$14,0),1)*(Inflation_Rate+BLS_Esc_Rate),-INDEX(Spark_Spread_Off,MATCH($C247,Adjustments!$H$3:$H$14,0),1)*(Inflation_Rate+BLS_Esc_Rate)),"Data Missing")</f>
        <v>16.780298980176973</v>
      </c>
      <c r="N247" s="131"/>
      <c r="O247" s="24">
        <f t="shared" ca="1" si="19"/>
        <v>69.292841066794864</v>
      </c>
      <c r="P247" s="24">
        <f t="shared" ca="1" si="23"/>
        <v>45.915890741892234</v>
      </c>
    </row>
    <row r="248" spans="1:16" x14ac:dyDescent="0.25">
      <c r="A248" s="3">
        <v>246</v>
      </c>
      <c r="B248" s="19">
        <f t="shared" si="20"/>
        <v>53479</v>
      </c>
      <c r="C248" s="9" t="str">
        <f t="shared" si="21"/>
        <v>Jun</v>
      </c>
      <c r="D248" s="9">
        <f t="shared" si="22"/>
        <v>2046</v>
      </c>
      <c r="E248" s="9" t="str">
        <f>INDEX(Seasons,MATCH($C248,'General Inputs'!$B$20:$B$31,0),1)</f>
        <v>Summer</v>
      </c>
      <c r="F248" s="22">
        <f>'Elec Futures'!H248</f>
        <v>0</v>
      </c>
      <c r="G248" s="22">
        <f>'Elec Futures'!I248</f>
        <v>0</v>
      </c>
      <c r="H248" s="131"/>
      <c r="I248" s="22">
        <f>IFERROR('NG Futures'!$I254*HR_Low_Plant/1000,"Data Missing")</f>
        <v>42.672845537217682</v>
      </c>
      <c r="J248" s="22">
        <f>IFERROR('NG Futures'!$I254*HR_High_Plant/1000,"Data Missing")</f>
        <v>29.387392085286084</v>
      </c>
      <c r="K248" s="131"/>
      <c r="L248" s="22">
        <f ca="1">IFERROR(INDEX(Spark_Spread_On,MATCH($C248,Adjustments!$H$3:$H$14,0),1)+IF(INDEX(Spark_Spread_On,MATCH($C248,Adjustments!$H$3:$H$14,0),1)&gt;1,INDEX(Spark_Spread_On,MATCH($C248,Adjustments!$H$3:$H$14,0),1)*(Inflation_Rate+BLS_Esc_Rate),-INDEX(Spark_Spread_On,MATCH($C248,Adjustments!$H$3:$H$14,0),1)*(Inflation_Rate+BLS_Esc_Rate)),"Data Missing")</f>
        <v>32.794481155748485</v>
      </c>
      <c r="M248" s="22">
        <f ca="1">IFERROR(INDEX(Spark_Spread_Off,MATCH($C248,Adjustments!$H$3:$H$14,0),1)+IF(INDEX(Spark_Spread_Off,MATCH($C248,Adjustments!$H$3:$H$14,0),1)&gt;1,INDEX(Spark_Spread_Off,MATCH($C248,Adjustments!$H$3:$H$14,0),1)*(Inflation_Rate+BLS_Esc_Rate),-INDEX(Spark_Spread_Off,MATCH($C248,Adjustments!$H$3:$H$14,0),1)*(Inflation_Rate+BLS_Esc_Rate)),"Data Missing")</f>
        <v>16.358897919725173</v>
      </c>
      <c r="N248" s="131"/>
      <c r="O248" s="24">
        <f t="shared" ca="1" si="19"/>
        <v>75.467326692966168</v>
      </c>
      <c r="P248" s="24">
        <f t="shared" ca="1" si="23"/>
        <v>45.746290005011261</v>
      </c>
    </row>
    <row r="249" spans="1:16" x14ac:dyDescent="0.25">
      <c r="A249" s="3">
        <v>247</v>
      </c>
      <c r="B249" s="19">
        <f t="shared" si="20"/>
        <v>53509</v>
      </c>
      <c r="C249" s="9" t="str">
        <f t="shared" si="21"/>
        <v>Jul</v>
      </c>
      <c r="D249" s="9">
        <f t="shared" si="22"/>
        <v>2046</v>
      </c>
      <c r="E249" s="9" t="str">
        <f>INDEX(Seasons,MATCH($C249,'General Inputs'!$B$20:$B$31,0),1)</f>
        <v>Summer</v>
      </c>
      <c r="F249" s="22">
        <f>'Elec Futures'!H249</f>
        <v>0</v>
      </c>
      <c r="G249" s="22">
        <f>'Elec Futures'!I249</f>
        <v>0</v>
      </c>
      <c r="H249" s="131"/>
      <c r="I249" s="22">
        <f>IFERROR('NG Futures'!$I255*HR_Low_Plant/1000,"Data Missing")</f>
        <v>44.619406535786908</v>
      </c>
      <c r="J249" s="22">
        <f>IFERROR('NG Futures'!$I255*HR_High_Plant/1000,"Data Missing")</f>
        <v>30.727924936159329</v>
      </c>
      <c r="K249" s="131"/>
      <c r="L249" s="22">
        <f ca="1">IFERROR(INDEX(Spark_Spread_On,MATCH($C249,Adjustments!$H$3:$H$14,0),1)+IF(INDEX(Spark_Spread_On,MATCH($C249,Adjustments!$H$3:$H$14,0),1)&gt;1,INDEX(Spark_Spread_On,MATCH($C249,Adjustments!$H$3:$H$14,0),1)*(Inflation_Rate+BLS_Esc_Rate),-INDEX(Spark_Spread_On,MATCH($C249,Adjustments!$H$3:$H$14,0),1)*(Inflation_Rate+BLS_Esc_Rate)),"Data Missing")</f>
        <v>60.778479645687867</v>
      </c>
      <c r="M249" s="22">
        <f ca="1">IFERROR(INDEX(Spark_Spread_Off,MATCH($C249,Adjustments!$H$3:$H$14,0),1)+IF(INDEX(Spark_Spread_Off,MATCH($C249,Adjustments!$H$3:$H$14,0),1)&gt;1,INDEX(Spark_Spread_Off,MATCH($C249,Adjustments!$H$3:$H$14,0),1)*(Inflation_Rate+BLS_Esc_Rate),-INDEX(Spark_Spread_Off,MATCH($C249,Adjustments!$H$3:$H$14,0),1)*(Inflation_Rate+BLS_Esc_Rate)),"Data Missing")</f>
        <v>23.644134063075864</v>
      </c>
      <c r="N249" s="131"/>
      <c r="O249" s="24">
        <f t="shared" ca="1" si="19"/>
        <v>105.39788618147477</v>
      </c>
      <c r="P249" s="24">
        <f t="shared" ca="1" si="23"/>
        <v>54.372058999235193</v>
      </c>
    </row>
    <row r="250" spans="1:16" x14ac:dyDescent="0.25">
      <c r="A250" s="3">
        <v>248</v>
      </c>
      <c r="B250" s="19">
        <f t="shared" si="20"/>
        <v>53540</v>
      </c>
      <c r="C250" s="9" t="str">
        <f t="shared" si="21"/>
        <v>Aug</v>
      </c>
      <c r="D250" s="9">
        <f t="shared" si="22"/>
        <v>2046</v>
      </c>
      <c r="E250" s="9" t="str">
        <f>INDEX(Seasons,MATCH($C250,'General Inputs'!$B$20:$B$31,0),1)</f>
        <v>Summer</v>
      </c>
      <c r="F250" s="22">
        <f>'Elec Futures'!H250</f>
        <v>0</v>
      </c>
      <c r="G250" s="22">
        <f>'Elec Futures'!I250</f>
        <v>0</v>
      </c>
      <c r="H250" s="131"/>
      <c r="I250" s="22">
        <f>IFERROR('NG Futures'!$I256*HR_Low_Plant/1000,"Data Missing")</f>
        <v>45.3149783900394</v>
      </c>
      <c r="J250" s="22">
        <f>IFERROR('NG Futures'!$I256*HR_High_Plant/1000,"Data Missing")</f>
        <v>31.206942506866664</v>
      </c>
      <c r="K250" s="131"/>
      <c r="L250" s="22">
        <f ca="1">IFERROR(INDEX(Spark_Spread_On,MATCH($C250,Adjustments!$H$3:$H$14,0),1)+IF(INDEX(Spark_Spread_On,MATCH($C250,Adjustments!$H$3:$H$14,0),1)&gt;1,INDEX(Spark_Spread_On,MATCH($C250,Adjustments!$H$3:$H$14,0),1)*(Inflation_Rate+BLS_Esc_Rate),-INDEX(Spark_Spread_On,MATCH($C250,Adjustments!$H$3:$H$14,0),1)*(Inflation_Rate+BLS_Esc_Rate)),"Data Missing")</f>
        <v>48.689674403055982</v>
      </c>
      <c r="M250" s="22">
        <f ca="1">IFERROR(INDEX(Spark_Spread_Off,MATCH($C250,Adjustments!$H$3:$H$14,0),1)+IF(INDEX(Spark_Spread_Off,MATCH($C250,Adjustments!$H$3:$H$14,0),1)&gt;1,INDEX(Spark_Spread_Off,MATCH($C250,Adjustments!$H$3:$H$14,0),1)*(Inflation_Rate+BLS_Esc_Rate),-INDEX(Spark_Spread_Off,MATCH($C250,Adjustments!$H$3:$H$14,0),1)*(Inflation_Rate+BLS_Esc_Rate)),"Data Missing")</f>
        <v>19.08142511960634</v>
      </c>
      <c r="N250" s="131"/>
      <c r="O250" s="24">
        <f t="shared" ca="1" si="19"/>
        <v>94.004652793095374</v>
      </c>
      <c r="P250" s="24">
        <f t="shared" ca="1" si="23"/>
        <v>50.288367626473004</v>
      </c>
    </row>
    <row r="251" spans="1:16" x14ac:dyDescent="0.25">
      <c r="A251" s="3">
        <v>249</v>
      </c>
      <c r="B251" s="19">
        <f t="shared" si="20"/>
        <v>53571</v>
      </c>
      <c r="C251" s="9" t="str">
        <f t="shared" si="21"/>
        <v>Sep</v>
      </c>
      <c r="D251" s="9">
        <f t="shared" si="22"/>
        <v>2046</v>
      </c>
      <c r="E251" s="9" t="str">
        <f>INDEX(Seasons,MATCH($C251,'General Inputs'!$B$20:$B$31,0),1)</f>
        <v>Summer</v>
      </c>
      <c r="F251" s="22">
        <f>'Elec Futures'!H251</f>
        <v>0</v>
      </c>
      <c r="G251" s="22">
        <f>'Elec Futures'!I251</f>
        <v>0</v>
      </c>
      <c r="H251" s="131"/>
      <c r="I251" s="22">
        <f>IFERROR('NG Futures'!$I257*HR_Low_Plant/1000,"Data Missing")</f>
        <v>38.742000866022011</v>
      </c>
      <c r="J251" s="22">
        <f>IFERROR('NG Futures'!$I257*HR_High_Plant/1000,"Data Missing")</f>
        <v>26.680348012538822</v>
      </c>
      <c r="K251" s="131"/>
      <c r="L251" s="22">
        <f ca="1">IFERROR(INDEX(Spark_Spread_On,MATCH($C251,Adjustments!$H$3:$H$14,0),1)+IF(INDEX(Spark_Spread_On,MATCH($C251,Adjustments!$H$3:$H$14,0),1)&gt;1,INDEX(Spark_Spread_On,MATCH($C251,Adjustments!$H$3:$H$14,0),1)*(Inflation_Rate+BLS_Esc_Rate),-INDEX(Spark_Spread_On,MATCH($C251,Adjustments!$H$3:$H$14,0),1)*(Inflation_Rate+BLS_Esc_Rate)),"Data Missing")</f>
        <v>33.852941430998882</v>
      </c>
      <c r="M251" s="22">
        <f ca="1">IFERROR(INDEX(Spark_Spread_Off,MATCH($C251,Adjustments!$H$3:$H$14,0),1)+IF(INDEX(Spark_Spread_Off,MATCH($C251,Adjustments!$H$3:$H$14,0),1)&gt;1,INDEX(Spark_Spread_Off,MATCH($C251,Adjustments!$H$3:$H$14,0),1)*(Inflation_Rate+BLS_Esc_Rate),-INDEX(Spark_Spread_Off,MATCH($C251,Adjustments!$H$3:$H$14,0),1)*(Inflation_Rate+BLS_Esc_Rate)),"Data Missing")</f>
        <v>17.63955138931739</v>
      </c>
      <c r="N251" s="131"/>
      <c r="O251" s="24">
        <f t="shared" ca="1" si="19"/>
        <v>72.594942297020893</v>
      </c>
      <c r="P251" s="24">
        <f t="shared" ca="1" si="23"/>
        <v>44.319899401856212</v>
      </c>
    </row>
    <row r="252" spans="1:16" x14ac:dyDescent="0.25">
      <c r="A252" s="3">
        <v>250</v>
      </c>
      <c r="B252" s="19">
        <f t="shared" si="20"/>
        <v>53601</v>
      </c>
      <c r="C252" s="9" t="str">
        <f t="shared" si="21"/>
        <v>Oct</v>
      </c>
      <c r="D252" s="9">
        <f t="shared" si="22"/>
        <v>2046</v>
      </c>
      <c r="E252" s="9" t="str">
        <f>INDEX(Seasons,MATCH($C252,'General Inputs'!$B$20:$B$31,0),1)</f>
        <v>Shoulder</v>
      </c>
      <c r="F252" s="22">
        <f>'Elec Futures'!H252</f>
        <v>0</v>
      </c>
      <c r="G252" s="22">
        <f>'Elec Futures'!I252</f>
        <v>0</v>
      </c>
      <c r="H252" s="131"/>
      <c r="I252" s="22">
        <f>IFERROR('NG Futures'!$I258*HR_Low_Plant/1000,"Data Missing")</f>
        <v>39.471034361381761</v>
      </c>
      <c r="J252" s="22">
        <f>IFERROR('NG Futures'!$I258*HR_High_Plant/1000,"Data Missing")</f>
        <v>27.182409520313314</v>
      </c>
      <c r="K252" s="131"/>
      <c r="L252" s="22">
        <f ca="1">IFERROR(INDEX(Spark_Spread_On,MATCH($C252,Adjustments!$H$3:$H$14,0),1)+IF(INDEX(Spark_Spread_On,MATCH($C252,Adjustments!$H$3:$H$14,0),1)&gt;1,INDEX(Spark_Spread_On,MATCH($C252,Adjustments!$H$3:$H$14,0),1)*(Inflation_Rate+BLS_Esc_Rate),-INDEX(Spark_Spread_On,MATCH($C252,Adjustments!$H$3:$H$14,0),1)*(Inflation_Rate+BLS_Esc_Rate)),"Data Missing")</f>
        <v>29.40002941858754</v>
      </c>
      <c r="M252" s="22">
        <f ca="1">IFERROR(INDEX(Spark_Spread_Off,MATCH($C252,Adjustments!$H$3:$H$14,0),1)+IF(INDEX(Spark_Spread_Off,MATCH($C252,Adjustments!$H$3:$H$14,0),1)&gt;1,INDEX(Spark_Spread_Off,MATCH($C252,Adjustments!$H$3:$H$14,0),1)*(Inflation_Rate+BLS_Esc_Rate),-INDEX(Spark_Spread_Off,MATCH($C252,Adjustments!$H$3:$H$14,0),1)*(Inflation_Rate+BLS_Esc_Rate)),"Data Missing")</f>
        <v>20.150009298264372</v>
      </c>
      <c r="N252" s="131"/>
      <c r="O252" s="24">
        <f t="shared" ca="1" si="19"/>
        <v>68.871063779969305</v>
      </c>
      <c r="P252" s="24">
        <f t="shared" ca="1" si="23"/>
        <v>47.332418818577686</v>
      </c>
    </row>
    <row r="253" spans="1:16" x14ac:dyDescent="0.25">
      <c r="A253" s="3">
        <v>251</v>
      </c>
      <c r="B253" s="19">
        <f t="shared" si="20"/>
        <v>53632</v>
      </c>
      <c r="C253" s="9" t="str">
        <f t="shared" si="21"/>
        <v>Nov</v>
      </c>
      <c r="D253" s="9">
        <f t="shared" si="22"/>
        <v>2046</v>
      </c>
      <c r="E253" s="9" t="str">
        <f>INDEX(Seasons,MATCH($C253,'General Inputs'!$B$20:$B$31,0),1)</f>
        <v>Shoulder</v>
      </c>
      <c r="F253" s="22">
        <f>'Elec Futures'!H253</f>
        <v>0</v>
      </c>
      <c r="G253" s="22">
        <f>'Elec Futures'!I253</f>
        <v>0</v>
      </c>
      <c r="H253" s="131"/>
      <c r="I253" s="22">
        <f>IFERROR('NG Futures'!$I259*HR_Low_Plant/1000,"Data Missing")</f>
        <v>51.503042604241337</v>
      </c>
      <c r="J253" s="22">
        <f>IFERROR('NG Futures'!$I259*HR_High_Plant/1000,"Data Missing")</f>
        <v>35.468459802521963</v>
      </c>
      <c r="K253" s="131"/>
      <c r="L253" s="22">
        <f ca="1">IFERROR(INDEX(Spark_Spread_On,MATCH($C253,Adjustments!$H$3:$H$14,0),1)+IF(INDEX(Spark_Spread_On,MATCH($C253,Adjustments!$H$3:$H$14,0),1)&gt;1,INDEX(Spark_Spread_On,MATCH($C253,Adjustments!$H$3:$H$14,0),1)*(Inflation_Rate+BLS_Esc_Rate),-INDEX(Spark_Spread_On,MATCH($C253,Adjustments!$H$3:$H$14,0),1)*(Inflation_Rate+BLS_Esc_Rate)),"Data Missing")</f>
        <v>22.485829134622783</v>
      </c>
      <c r="M253" s="22">
        <f ca="1">IFERROR(INDEX(Spark_Spread_Off,MATCH($C253,Adjustments!$H$3:$H$14,0),1)+IF(INDEX(Spark_Spread_Off,MATCH($C253,Adjustments!$H$3:$H$14,0),1)&gt;1,INDEX(Spark_Spread_Off,MATCH($C253,Adjustments!$H$3:$H$14,0),1)*(Inflation_Rate+BLS_Esc_Rate),-INDEX(Spark_Spread_Off,MATCH($C253,Adjustments!$H$3:$H$14,0),1)*(Inflation_Rate+BLS_Esc_Rate)),"Data Missing")</f>
        <v>20.092402274981513</v>
      </c>
      <c r="N253" s="131"/>
      <c r="O253" s="24">
        <f t="shared" ca="1" si="19"/>
        <v>73.98887173886412</v>
      </c>
      <c r="P253" s="24">
        <f t="shared" ca="1" si="23"/>
        <v>55.560862077503472</v>
      </c>
    </row>
    <row r="254" spans="1:16" x14ac:dyDescent="0.25">
      <c r="A254" s="3">
        <v>252</v>
      </c>
      <c r="B254" s="19">
        <f t="shared" si="20"/>
        <v>53662</v>
      </c>
      <c r="C254" s="9" t="str">
        <f t="shared" si="21"/>
        <v>Dec</v>
      </c>
      <c r="D254" s="9">
        <f t="shared" si="22"/>
        <v>2046</v>
      </c>
      <c r="E254" s="9" t="str">
        <f>INDEX(Seasons,MATCH($C254,'General Inputs'!$B$20:$B$31,0),1)</f>
        <v>Winter</v>
      </c>
      <c r="F254" s="22">
        <f>'Elec Futures'!H254</f>
        <v>0</v>
      </c>
      <c r="G254" s="22">
        <f>'Elec Futures'!I254</f>
        <v>0</v>
      </c>
      <c r="H254" s="131"/>
      <c r="I254" s="22">
        <f>IFERROR('NG Futures'!$I260*HR_Low_Plant/1000,"Data Missing")</f>
        <v>84.03744952170733</v>
      </c>
      <c r="J254" s="22">
        <f>IFERROR('NG Futures'!$I260*HR_High_Plant/1000,"Data Missing")</f>
        <v>57.873841030542955</v>
      </c>
      <c r="K254" s="131"/>
      <c r="L254" s="22">
        <f ca="1">IFERROR(INDEX(Spark_Spread_On,MATCH($C254,Adjustments!$H$3:$H$14,0),1)+IF(INDEX(Spark_Spread_On,MATCH($C254,Adjustments!$H$3:$H$14,0),1)&gt;1,INDEX(Spark_Spread_On,MATCH($C254,Adjustments!$H$3:$H$14,0),1)*(Inflation_Rate+BLS_Esc_Rate),-INDEX(Spark_Spread_On,MATCH($C254,Adjustments!$H$3:$H$14,0),1)*(Inflation_Rate+BLS_Esc_Rate)),"Data Missing")</f>
        <v>11.430346668590539</v>
      </c>
      <c r="M254" s="22">
        <f ca="1">IFERROR(INDEX(Spark_Spread_Off,MATCH($C254,Adjustments!$H$3:$H$14,0),1)+IF(INDEX(Spark_Spread_Off,MATCH($C254,Adjustments!$H$3:$H$14,0),1)&gt;1,INDEX(Spark_Spread_Off,MATCH($C254,Adjustments!$H$3:$H$14,0),1)*(Inflation_Rate+BLS_Esc_Rate),-INDEX(Spark_Spread_Off,MATCH($C254,Adjustments!$H$3:$H$14,0),1)*(Inflation_Rate+BLS_Esc_Rate)),"Data Missing")</f>
        <v>16.391451942721986</v>
      </c>
      <c r="N254" s="131"/>
      <c r="O254" s="24">
        <f t="shared" ca="1" si="19"/>
        <v>95.467796190297875</v>
      </c>
      <c r="P254" s="24">
        <f t="shared" ca="1" si="23"/>
        <v>74.265292973264934</v>
      </c>
    </row>
    <row r="255" spans="1:16" x14ac:dyDescent="0.25">
      <c r="A255" s="3">
        <v>253</v>
      </c>
      <c r="B255" s="19">
        <f t="shared" si="20"/>
        <v>53693</v>
      </c>
      <c r="C255" s="9" t="str">
        <f t="shared" si="21"/>
        <v>Jan</v>
      </c>
      <c r="D255" s="9">
        <f t="shared" si="22"/>
        <v>2047</v>
      </c>
      <c r="E255" s="9" t="str">
        <f>INDEX(Seasons,MATCH($C255,'General Inputs'!$B$20:$B$31,0),1)</f>
        <v>Winter</v>
      </c>
      <c r="F255" s="22">
        <f>'Elec Futures'!H255</f>
        <v>0</v>
      </c>
      <c r="G255" s="22">
        <f>'Elec Futures'!I255</f>
        <v>0</v>
      </c>
      <c r="H255" s="131"/>
      <c r="I255" s="22">
        <f>IFERROR('NG Futures'!$I261*HR_Low_Plant/1000,"Data Missing")</f>
        <v>0</v>
      </c>
      <c r="J255" s="22">
        <f>IFERROR('NG Futures'!$I261*HR_High_Plant/1000,"Data Missing")</f>
        <v>0</v>
      </c>
      <c r="K255" s="131"/>
      <c r="L255" s="22">
        <f ca="1">IFERROR(INDEX(Spark_Spread_On,MATCH($C255,Adjustments!$H$3:$H$14,0),1)+IF(INDEX(Spark_Spread_On,MATCH($C255,Adjustments!$H$3:$H$14,0),1)&gt;1,INDEX(Spark_Spread_On,MATCH($C255,Adjustments!$H$3:$H$14,0),1)*(Inflation_Rate+BLS_Esc_Rate),-INDEX(Spark_Spread_On,MATCH($C255,Adjustments!$H$3:$H$14,0),1)*(Inflation_Rate+BLS_Esc_Rate)),"Data Missing")</f>
        <v>5.8685378940686794</v>
      </c>
      <c r="M255" s="22">
        <f ca="1">IFERROR(INDEX(Spark_Spread_Off,MATCH($C255,Adjustments!$H$3:$H$14,0),1)+IF(INDEX(Spark_Spread_Off,MATCH($C255,Adjustments!$H$3:$H$14,0),1)&gt;1,INDEX(Spark_Spread_Off,MATCH($C255,Adjustments!$H$3:$H$14,0),1)*(Inflation_Rate+BLS_Esc_Rate),-INDEX(Spark_Spread_Off,MATCH($C255,Adjustments!$H$3:$H$14,0),1)*(Inflation_Rate+BLS_Esc_Rate)),"Data Missing")</f>
        <v>16.761915371452087</v>
      </c>
      <c r="N255" s="131"/>
      <c r="O255" s="24">
        <f t="shared" ca="1" si="19"/>
        <v>5.8685378940686794</v>
      </c>
      <c r="P255" s="24">
        <f t="shared" ca="1" si="23"/>
        <v>16.761915371452087</v>
      </c>
    </row>
    <row r="256" spans="1:16" x14ac:dyDescent="0.25">
      <c r="A256" s="3">
        <v>254</v>
      </c>
      <c r="B256" s="19">
        <f t="shared" si="20"/>
        <v>53724</v>
      </c>
      <c r="C256" s="9" t="str">
        <f t="shared" si="21"/>
        <v>Feb</v>
      </c>
      <c r="D256" s="9">
        <f t="shared" si="22"/>
        <v>2047</v>
      </c>
      <c r="E256" s="9" t="str">
        <f>INDEX(Seasons,MATCH($C256,'General Inputs'!$B$20:$B$31,0),1)</f>
        <v>Winter</v>
      </c>
      <c r="F256" s="22">
        <f>'Elec Futures'!H256</f>
        <v>0</v>
      </c>
      <c r="G256" s="22">
        <f>'Elec Futures'!I256</f>
        <v>0</v>
      </c>
      <c r="H256" s="131"/>
      <c r="I256" s="22">
        <f>IFERROR('NG Futures'!$I262*HR_Low_Plant/1000,"Data Missing")</f>
        <v>0</v>
      </c>
      <c r="J256" s="22">
        <f>IFERROR('NG Futures'!$I262*HR_High_Plant/1000,"Data Missing")</f>
        <v>0</v>
      </c>
      <c r="K256" s="131"/>
      <c r="L256" s="22">
        <f ca="1">IFERROR(INDEX(Spark_Spread_On,MATCH($C256,Adjustments!$H$3:$H$14,0),1)+IF(INDEX(Spark_Spread_On,MATCH($C256,Adjustments!$H$3:$H$14,0),1)&gt;1,INDEX(Spark_Spread_On,MATCH($C256,Adjustments!$H$3:$H$14,0),1)*(Inflation_Rate+BLS_Esc_Rate),-INDEX(Spark_Spread_On,MATCH($C256,Adjustments!$H$3:$H$14,0),1)*(Inflation_Rate+BLS_Esc_Rate)),"Data Missing")</f>
        <v>5.7233949711767895</v>
      </c>
      <c r="M256" s="22">
        <f ca="1">IFERROR(INDEX(Spark_Spread_Off,MATCH($C256,Adjustments!$H$3:$H$14,0),1)+IF(INDEX(Spark_Spread_Off,MATCH($C256,Adjustments!$H$3:$H$14,0),1)&gt;1,INDEX(Spark_Spread_Off,MATCH($C256,Adjustments!$H$3:$H$14,0),1)*(Inflation_Rate+BLS_Esc_Rate),-INDEX(Spark_Spread_Off,MATCH($C256,Adjustments!$H$3:$H$14,0),1)*(Inflation_Rate+BLS_Esc_Rate)),"Data Missing")</f>
        <v>15.231728502085021</v>
      </c>
      <c r="N256" s="131"/>
      <c r="O256" s="24">
        <f t="shared" ref="O256:O266" ca="1" si="24">IFERROR(I256+L256, "Data Missing")</f>
        <v>5.7233949711767895</v>
      </c>
      <c r="P256" s="24">
        <f t="shared" ca="1" si="23"/>
        <v>15.231728502085021</v>
      </c>
    </row>
    <row r="257" spans="1:16" x14ac:dyDescent="0.25">
      <c r="A257" s="3">
        <v>255</v>
      </c>
      <c r="B257" s="19">
        <f t="shared" si="20"/>
        <v>53752</v>
      </c>
      <c r="C257" s="9" t="str">
        <f t="shared" si="21"/>
        <v>Mar</v>
      </c>
      <c r="D257" s="9">
        <f t="shared" si="22"/>
        <v>2047</v>
      </c>
      <c r="E257" s="9" t="str">
        <f>INDEX(Seasons,MATCH($C257,'General Inputs'!$B$20:$B$31,0),1)</f>
        <v>Shoulder</v>
      </c>
      <c r="F257" s="22">
        <f>'Elec Futures'!H257</f>
        <v>0</v>
      </c>
      <c r="G257" s="22">
        <f>'Elec Futures'!I257</f>
        <v>0</v>
      </c>
      <c r="H257" s="131"/>
      <c r="I257" s="22">
        <f>IFERROR('NG Futures'!$I263*HR_Low_Plant/1000,"Data Missing")</f>
        <v>0</v>
      </c>
      <c r="J257" s="22">
        <f>IFERROR('NG Futures'!$I263*HR_High_Plant/1000,"Data Missing")</f>
        <v>0</v>
      </c>
      <c r="K257" s="131"/>
      <c r="L257" s="22">
        <f ca="1">IFERROR(INDEX(Spark_Spread_On,MATCH($C257,Adjustments!$H$3:$H$14,0),1)+IF(INDEX(Spark_Spread_On,MATCH($C257,Adjustments!$H$3:$H$14,0),1)&gt;1,INDEX(Spark_Spread_On,MATCH($C257,Adjustments!$H$3:$H$14,0),1)*(Inflation_Rate+BLS_Esc_Rate),-INDEX(Spark_Spread_On,MATCH($C257,Adjustments!$H$3:$H$14,0),1)*(Inflation_Rate+BLS_Esc_Rate)),"Data Missing")</f>
        <v>16.528539996336317</v>
      </c>
      <c r="M257" s="22">
        <f ca="1">IFERROR(INDEX(Spark_Spread_Off,MATCH($C257,Adjustments!$H$3:$H$14,0),1)+IF(INDEX(Spark_Spread_Off,MATCH($C257,Adjustments!$H$3:$H$14,0),1)&gt;1,INDEX(Spark_Spread_Off,MATCH($C257,Adjustments!$H$3:$H$14,0),1)*(Inflation_Rate+BLS_Esc_Rate),-INDEX(Spark_Spread_Off,MATCH($C257,Adjustments!$H$3:$H$14,0),1)*(Inflation_Rate+BLS_Esc_Rate)),"Data Missing")</f>
        <v>18.910646100880385</v>
      </c>
      <c r="N257" s="131"/>
      <c r="O257" s="24">
        <f t="shared" ca="1" si="24"/>
        <v>16.528539996336317</v>
      </c>
      <c r="P257" s="24">
        <f t="shared" ca="1" si="23"/>
        <v>18.910646100880385</v>
      </c>
    </row>
    <row r="258" spans="1:16" x14ac:dyDescent="0.25">
      <c r="A258" s="3">
        <v>256</v>
      </c>
      <c r="B258" s="19">
        <f t="shared" si="20"/>
        <v>53783</v>
      </c>
      <c r="C258" s="9" t="str">
        <f t="shared" si="21"/>
        <v>Apr</v>
      </c>
      <c r="D258" s="9">
        <f t="shared" si="22"/>
        <v>2047</v>
      </c>
      <c r="E258" s="9" t="str">
        <f>INDEX(Seasons,MATCH($C258,'General Inputs'!$B$20:$B$31,0),1)</f>
        <v>Shoulder</v>
      </c>
      <c r="F258" s="22">
        <f>'Elec Futures'!H258</f>
        <v>0</v>
      </c>
      <c r="G258" s="22">
        <f>'Elec Futures'!I258</f>
        <v>0</v>
      </c>
      <c r="H258" s="131"/>
      <c r="I258" s="22">
        <f>IFERROR('NG Futures'!$I264*HR_Low_Plant/1000,"Data Missing")</f>
        <v>0</v>
      </c>
      <c r="J258" s="22">
        <f>IFERROR('NG Futures'!$I264*HR_High_Plant/1000,"Data Missing")</f>
        <v>0</v>
      </c>
      <c r="K258" s="131"/>
      <c r="L258" s="22">
        <f ca="1">IFERROR(INDEX(Spark_Spread_On,MATCH($C258,Adjustments!$H$3:$H$14,0),1)+IF(INDEX(Spark_Spread_On,MATCH($C258,Adjustments!$H$3:$H$14,0),1)&gt;1,INDEX(Spark_Spread_On,MATCH($C258,Adjustments!$H$3:$H$14,0),1)*(Inflation_Rate+BLS_Esc_Rate),-INDEX(Spark_Spread_On,MATCH($C258,Adjustments!$H$3:$H$14,0),1)*(Inflation_Rate+BLS_Esc_Rate)),"Data Missing")</f>
        <v>22.38036101423787</v>
      </c>
      <c r="M258" s="22">
        <f ca="1">IFERROR(INDEX(Spark_Spread_Off,MATCH($C258,Adjustments!$H$3:$H$14,0),1)+IF(INDEX(Spark_Spread_Off,MATCH($C258,Adjustments!$H$3:$H$14,0),1)&gt;1,INDEX(Spark_Spread_Off,MATCH($C258,Adjustments!$H$3:$H$14,0),1)*(Inflation_Rate+BLS_Esc_Rate),-INDEX(Spark_Spread_Off,MATCH($C258,Adjustments!$H$3:$H$14,0),1)*(Inflation_Rate+BLS_Esc_Rate)),"Data Missing")</f>
        <v>18.258127438419208</v>
      </c>
      <c r="N258" s="131"/>
      <c r="O258" s="24">
        <f t="shared" ca="1" si="24"/>
        <v>22.38036101423787</v>
      </c>
      <c r="P258" s="24">
        <f t="shared" ca="1" si="23"/>
        <v>18.258127438419208</v>
      </c>
    </row>
    <row r="259" spans="1:16" x14ac:dyDescent="0.25">
      <c r="A259" s="3">
        <v>257</v>
      </c>
      <c r="B259" s="19">
        <f t="shared" ref="B259:B266" si="25">DATE(Start_Year-1,A259,1)</f>
        <v>53813</v>
      </c>
      <c r="C259" s="9" t="str">
        <f t="shared" si="21"/>
        <v>May</v>
      </c>
      <c r="D259" s="9">
        <f t="shared" si="22"/>
        <v>2047</v>
      </c>
      <c r="E259" s="9" t="str">
        <f>INDEX(Seasons,MATCH($C259,'General Inputs'!$B$20:$B$31,0),1)</f>
        <v>Summer</v>
      </c>
      <c r="F259" s="22">
        <f>'Elec Futures'!H259</f>
        <v>0</v>
      </c>
      <c r="G259" s="22">
        <f>'Elec Futures'!I259</f>
        <v>0</v>
      </c>
      <c r="H259" s="131"/>
      <c r="I259" s="22">
        <f>IFERROR('NG Futures'!$I265*HR_Low_Plant/1000,"Data Missing")</f>
        <v>0</v>
      </c>
      <c r="J259" s="22">
        <f>IFERROR('NG Futures'!$I265*HR_High_Plant/1000,"Data Missing")</f>
        <v>0</v>
      </c>
      <c r="K259" s="131"/>
      <c r="L259" s="22">
        <f ca="1">IFERROR(INDEX(Spark_Spread_On,MATCH($C259,Adjustments!$H$3:$H$14,0),1)+IF(INDEX(Spark_Spread_On,MATCH($C259,Adjustments!$H$3:$H$14,0),1)&gt;1,INDEX(Spark_Spread_On,MATCH($C259,Adjustments!$H$3:$H$14,0),1)*(Inflation_Rate+BLS_Esc_Rate),-INDEX(Spark_Spread_On,MATCH($C259,Adjustments!$H$3:$H$14,0),1)*(Inflation_Rate+BLS_Esc_Rate)),"Data Missing")</f>
        <v>26.985629754035614</v>
      </c>
      <c r="M259" s="22">
        <f ca="1">IFERROR(INDEX(Spark_Spread_Off,MATCH($C259,Adjustments!$H$3:$H$14,0),1)+IF(INDEX(Spark_Spread_Off,MATCH($C259,Adjustments!$H$3:$H$14,0),1)&gt;1,INDEX(Spark_Spread_Off,MATCH($C259,Adjustments!$H$3:$H$14,0),1)*(Inflation_Rate+BLS_Esc_Rate),-INDEX(Spark_Spread_Off,MATCH($C259,Adjustments!$H$3:$H$14,0),1)*(Inflation_Rate+BLS_Esc_Rate)),"Data Missing")</f>
        <v>16.780298980176973</v>
      </c>
      <c r="N259" s="131"/>
      <c r="O259" s="24">
        <f t="shared" ca="1" si="24"/>
        <v>26.985629754035614</v>
      </c>
      <c r="P259" s="24">
        <f t="shared" ca="1" si="23"/>
        <v>16.780298980176973</v>
      </c>
    </row>
    <row r="260" spans="1:16" x14ac:dyDescent="0.25">
      <c r="A260" s="3">
        <v>258</v>
      </c>
      <c r="B260" s="19">
        <f t="shared" si="25"/>
        <v>53844</v>
      </c>
      <c r="C260" s="9" t="str">
        <f t="shared" ref="C260:C266" si="26">CHOOSE(MONTH(B260), "Jan", "Feb", "Mar", "Apr", "May", "Jun", "Jul", "Aug", "Sep", "Oct", "Nov", "Dec")</f>
        <v>Jun</v>
      </c>
      <c r="D260" s="9">
        <f t="shared" ref="D260:D266" si="27">YEAR(B260)</f>
        <v>2047</v>
      </c>
      <c r="E260" s="9" t="str">
        <f>INDEX(Seasons,MATCH($C260,'General Inputs'!$B$20:$B$31,0),1)</f>
        <v>Summer</v>
      </c>
      <c r="F260" s="22">
        <f>'Elec Futures'!H260</f>
        <v>0</v>
      </c>
      <c r="G260" s="22">
        <f>'Elec Futures'!I260</f>
        <v>0</v>
      </c>
      <c r="H260" s="131"/>
      <c r="I260" s="22">
        <f>IFERROR('NG Futures'!$I266*HR_Low_Plant/1000,"Data Missing")</f>
        <v>0</v>
      </c>
      <c r="J260" s="22">
        <f>IFERROR('NG Futures'!$I266*HR_High_Plant/1000,"Data Missing")</f>
        <v>0</v>
      </c>
      <c r="K260" s="131"/>
      <c r="L260" s="22">
        <f ca="1">IFERROR(INDEX(Spark_Spread_On,MATCH($C260,Adjustments!$H$3:$H$14,0),1)+IF(INDEX(Spark_Spread_On,MATCH($C260,Adjustments!$H$3:$H$14,0),1)&gt;1,INDEX(Spark_Spread_On,MATCH($C260,Adjustments!$H$3:$H$14,0),1)*(Inflation_Rate+BLS_Esc_Rate),-INDEX(Spark_Spread_On,MATCH($C260,Adjustments!$H$3:$H$14,0),1)*(Inflation_Rate+BLS_Esc_Rate)),"Data Missing")</f>
        <v>32.794481155748485</v>
      </c>
      <c r="M260" s="22">
        <f ca="1">IFERROR(INDEX(Spark_Spread_Off,MATCH($C260,Adjustments!$H$3:$H$14,0),1)+IF(INDEX(Spark_Spread_Off,MATCH($C260,Adjustments!$H$3:$H$14,0),1)&gt;1,INDEX(Spark_Spread_Off,MATCH($C260,Adjustments!$H$3:$H$14,0),1)*(Inflation_Rate+BLS_Esc_Rate),-INDEX(Spark_Spread_Off,MATCH($C260,Adjustments!$H$3:$H$14,0),1)*(Inflation_Rate+BLS_Esc_Rate)),"Data Missing")</f>
        <v>16.358897919725173</v>
      </c>
      <c r="N260" s="131"/>
      <c r="O260" s="24">
        <f t="shared" ca="1" si="24"/>
        <v>32.794481155748485</v>
      </c>
      <c r="P260" s="24">
        <f t="shared" ca="1" si="23"/>
        <v>16.358897919725173</v>
      </c>
    </row>
    <row r="261" spans="1:16" x14ac:dyDescent="0.25">
      <c r="A261" s="3">
        <v>259</v>
      </c>
      <c r="B261" s="19">
        <f t="shared" si="25"/>
        <v>53874</v>
      </c>
      <c r="C261" s="9" t="str">
        <f t="shared" si="26"/>
        <v>Jul</v>
      </c>
      <c r="D261" s="9">
        <f t="shared" si="27"/>
        <v>2047</v>
      </c>
      <c r="E261" s="9" t="str">
        <f>INDEX(Seasons,MATCH($C261,'General Inputs'!$B$20:$B$31,0),1)</f>
        <v>Summer</v>
      </c>
      <c r="F261" s="22">
        <f>'Elec Futures'!H261</f>
        <v>0</v>
      </c>
      <c r="G261" s="22">
        <f>'Elec Futures'!I261</f>
        <v>0</v>
      </c>
      <c r="H261" s="131"/>
      <c r="I261" s="22">
        <f>IFERROR('NG Futures'!$I267*HR_Low_Plant/1000,"Data Missing")</f>
        <v>0</v>
      </c>
      <c r="J261" s="22">
        <f>IFERROR('NG Futures'!$I267*HR_High_Plant/1000,"Data Missing")</f>
        <v>0</v>
      </c>
      <c r="K261" s="131"/>
      <c r="L261" s="22">
        <f ca="1">IFERROR(INDEX(Spark_Spread_On,MATCH($C261,Adjustments!$H$3:$H$14,0),1)+IF(INDEX(Spark_Spread_On,MATCH($C261,Adjustments!$H$3:$H$14,0),1)&gt;1,INDEX(Spark_Spread_On,MATCH($C261,Adjustments!$H$3:$H$14,0),1)*(Inflation_Rate+BLS_Esc_Rate),-INDEX(Spark_Spread_On,MATCH($C261,Adjustments!$H$3:$H$14,0),1)*(Inflation_Rate+BLS_Esc_Rate)),"Data Missing")</f>
        <v>60.778479645687867</v>
      </c>
      <c r="M261" s="22">
        <f ca="1">IFERROR(INDEX(Spark_Spread_Off,MATCH($C261,Adjustments!$H$3:$H$14,0),1)+IF(INDEX(Spark_Spread_Off,MATCH($C261,Adjustments!$H$3:$H$14,0),1)&gt;1,INDEX(Spark_Spread_Off,MATCH($C261,Adjustments!$H$3:$H$14,0),1)*(Inflation_Rate+BLS_Esc_Rate),-INDEX(Spark_Spread_Off,MATCH($C261,Adjustments!$H$3:$H$14,0),1)*(Inflation_Rate+BLS_Esc_Rate)),"Data Missing")</f>
        <v>23.644134063075864</v>
      </c>
      <c r="N261" s="131"/>
      <c r="O261" s="24">
        <f t="shared" ca="1" si="24"/>
        <v>60.778479645687867</v>
      </c>
      <c r="P261" s="24">
        <f t="shared" ca="1" si="23"/>
        <v>23.644134063075864</v>
      </c>
    </row>
    <row r="262" spans="1:16" x14ac:dyDescent="0.25">
      <c r="A262" s="3">
        <v>260</v>
      </c>
      <c r="B262" s="19">
        <f t="shared" si="25"/>
        <v>53905</v>
      </c>
      <c r="C262" s="9" t="str">
        <f t="shared" si="26"/>
        <v>Aug</v>
      </c>
      <c r="D262" s="9">
        <f t="shared" si="27"/>
        <v>2047</v>
      </c>
      <c r="E262" s="9" t="str">
        <f>INDEX(Seasons,MATCH($C262,'General Inputs'!$B$20:$B$31,0),1)</f>
        <v>Summer</v>
      </c>
      <c r="F262" s="22">
        <f>'Elec Futures'!H262</f>
        <v>0</v>
      </c>
      <c r="G262" s="22">
        <f>'Elec Futures'!I262</f>
        <v>0</v>
      </c>
      <c r="H262" s="131"/>
      <c r="I262" s="22">
        <f>IFERROR('NG Futures'!$I268*HR_Low_Plant/1000,"Data Missing")</f>
        <v>0</v>
      </c>
      <c r="J262" s="22">
        <f>IFERROR('NG Futures'!$I268*HR_High_Plant/1000,"Data Missing")</f>
        <v>0</v>
      </c>
      <c r="K262" s="131"/>
      <c r="L262" s="22">
        <f ca="1">IFERROR(INDEX(Spark_Spread_On,MATCH($C262,Adjustments!$H$3:$H$14,0),1)+IF(INDEX(Spark_Spread_On,MATCH($C262,Adjustments!$H$3:$H$14,0),1)&gt;1,INDEX(Spark_Spread_On,MATCH($C262,Adjustments!$H$3:$H$14,0),1)*(Inflation_Rate+BLS_Esc_Rate),-INDEX(Spark_Spread_On,MATCH($C262,Adjustments!$H$3:$H$14,0),1)*(Inflation_Rate+BLS_Esc_Rate)),"Data Missing")</f>
        <v>48.689674403055982</v>
      </c>
      <c r="M262" s="22">
        <f ca="1">IFERROR(INDEX(Spark_Spread_Off,MATCH($C262,Adjustments!$H$3:$H$14,0),1)+IF(INDEX(Spark_Spread_Off,MATCH($C262,Adjustments!$H$3:$H$14,0),1)&gt;1,INDEX(Spark_Spread_Off,MATCH($C262,Adjustments!$H$3:$H$14,0),1)*(Inflation_Rate+BLS_Esc_Rate),-INDEX(Spark_Spread_Off,MATCH($C262,Adjustments!$H$3:$H$14,0),1)*(Inflation_Rate+BLS_Esc_Rate)),"Data Missing")</f>
        <v>19.08142511960634</v>
      </c>
      <c r="N262" s="131"/>
      <c r="O262" s="24">
        <f t="shared" ca="1" si="24"/>
        <v>48.689674403055982</v>
      </c>
      <c r="P262" s="24">
        <f t="shared" ca="1" si="23"/>
        <v>19.08142511960634</v>
      </c>
    </row>
    <row r="263" spans="1:16" x14ac:dyDescent="0.25">
      <c r="A263" s="3">
        <v>261</v>
      </c>
      <c r="B263" s="19">
        <f t="shared" si="25"/>
        <v>53936</v>
      </c>
      <c r="C263" s="9" t="str">
        <f t="shared" si="26"/>
        <v>Sep</v>
      </c>
      <c r="D263" s="9">
        <f t="shared" si="27"/>
        <v>2047</v>
      </c>
      <c r="E263" s="9" t="str">
        <f>INDEX(Seasons,MATCH($C263,'General Inputs'!$B$20:$B$31,0),1)</f>
        <v>Summer</v>
      </c>
      <c r="F263" s="22">
        <f>'Elec Futures'!H263</f>
        <v>0</v>
      </c>
      <c r="G263" s="22">
        <f>'Elec Futures'!I263</f>
        <v>0</v>
      </c>
      <c r="H263" s="131"/>
      <c r="I263" s="22">
        <f>IFERROR('NG Futures'!$I269*HR_Low_Plant/1000,"Data Missing")</f>
        <v>0</v>
      </c>
      <c r="J263" s="22">
        <f>IFERROR('NG Futures'!$I269*HR_High_Plant/1000,"Data Missing")</f>
        <v>0</v>
      </c>
      <c r="K263" s="131"/>
      <c r="L263" s="22">
        <f ca="1">IFERROR(INDEX(Spark_Spread_On,MATCH($C263,Adjustments!$H$3:$H$14,0),1)+IF(INDEX(Spark_Spread_On,MATCH($C263,Adjustments!$H$3:$H$14,0),1)&gt;1,INDEX(Spark_Spread_On,MATCH($C263,Adjustments!$H$3:$H$14,0),1)*(Inflation_Rate+BLS_Esc_Rate),-INDEX(Spark_Spread_On,MATCH($C263,Adjustments!$H$3:$H$14,0),1)*(Inflation_Rate+BLS_Esc_Rate)),"Data Missing")</f>
        <v>33.852941430998882</v>
      </c>
      <c r="M263" s="22">
        <f ca="1">IFERROR(INDEX(Spark_Spread_Off,MATCH($C263,Adjustments!$H$3:$H$14,0),1)+IF(INDEX(Spark_Spread_Off,MATCH($C263,Adjustments!$H$3:$H$14,0),1)&gt;1,INDEX(Spark_Spread_Off,MATCH($C263,Adjustments!$H$3:$H$14,0),1)*(Inflation_Rate+BLS_Esc_Rate),-INDEX(Spark_Spread_Off,MATCH($C263,Adjustments!$H$3:$H$14,0),1)*(Inflation_Rate+BLS_Esc_Rate)),"Data Missing")</f>
        <v>17.63955138931739</v>
      </c>
      <c r="N263" s="131"/>
      <c r="O263" s="24">
        <f t="shared" ca="1" si="24"/>
        <v>33.852941430998882</v>
      </c>
      <c r="P263" s="24">
        <f t="shared" ref="P263:P266" ca="1" si="28">IFERROR(J263+M263,"Data Missing")</f>
        <v>17.63955138931739</v>
      </c>
    </row>
    <row r="264" spans="1:16" x14ac:dyDescent="0.25">
      <c r="A264" s="3">
        <v>262</v>
      </c>
      <c r="B264" s="19">
        <f t="shared" si="25"/>
        <v>53966</v>
      </c>
      <c r="C264" s="9" t="str">
        <f t="shared" si="26"/>
        <v>Oct</v>
      </c>
      <c r="D264" s="9">
        <f t="shared" si="27"/>
        <v>2047</v>
      </c>
      <c r="E264" s="9" t="str">
        <f>INDEX(Seasons,MATCH($C264,'General Inputs'!$B$20:$B$31,0),1)</f>
        <v>Shoulder</v>
      </c>
      <c r="F264" s="22">
        <f>'Elec Futures'!H264</f>
        <v>0</v>
      </c>
      <c r="G264" s="22">
        <f>'Elec Futures'!I264</f>
        <v>0</v>
      </c>
      <c r="H264" s="131"/>
      <c r="I264" s="22">
        <f>IFERROR('NG Futures'!$I270*HR_Low_Plant/1000,"Data Missing")</f>
        <v>0</v>
      </c>
      <c r="J264" s="22">
        <f>IFERROR('NG Futures'!$I270*HR_High_Plant/1000,"Data Missing")</f>
        <v>0</v>
      </c>
      <c r="K264" s="131"/>
      <c r="L264" s="22">
        <f ca="1">IFERROR(INDEX(Spark_Spread_On,MATCH($C264,Adjustments!$H$3:$H$14,0),1)+IF(INDEX(Spark_Spread_On,MATCH($C264,Adjustments!$H$3:$H$14,0),1)&gt;1,INDEX(Spark_Spread_On,MATCH($C264,Adjustments!$H$3:$H$14,0),1)*(Inflation_Rate+BLS_Esc_Rate),-INDEX(Spark_Spread_On,MATCH($C264,Adjustments!$H$3:$H$14,0),1)*(Inflation_Rate+BLS_Esc_Rate)),"Data Missing")</f>
        <v>29.40002941858754</v>
      </c>
      <c r="M264" s="22">
        <f ca="1">IFERROR(INDEX(Spark_Spread_Off,MATCH($C264,Adjustments!$H$3:$H$14,0),1)+IF(INDEX(Spark_Spread_Off,MATCH($C264,Adjustments!$H$3:$H$14,0),1)&gt;1,INDEX(Spark_Spread_Off,MATCH($C264,Adjustments!$H$3:$H$14,0),1)*(Inflation_Rate+BLS_Esc_Rate),-INDEX(Spark_Spread_Off,MATCH($C264,Adjustments!$H$3:$H$14,0),1)*(Inflation_Rate+BLS_Esc_Rate)),"Data Missing")</f>
        <v>20.150009298264372</v>
      </c>
      <c r="N264" s="131"/>
      <c r="O264" s="24">
        <f t="shared" ca="1" si="24"/>
        <v>29.40002941858754</v>
      </c>
      <c r="P264" s="24">
        <f t="shared" ca="1" si="28"/>
        <v>20.150009298264372</v>
      </c>
    </row>
    <row r="265" spans="1:16" x14ac:dyDescent="0.25">
      <c r="A265" s="3">
        <v>263</v>
      </c>
      <c r="B265" s="19">
        <f t="shared" si="25"/>
        <v>53997</v>
      </c>
      <c r="C265" s="9" t="str">
        <f t="shared" si="26"/>
        <v>Nov</v>
      </c>
      <c r="D265" s="9">
        <f t="shared" si="27"/>
        <v>2047</v>
      </c>
      <c r="E265" s="9" t="str">
        <f>INDEX(Seasons,MATCH($C265,'General Inputs'!$B$20:$B$31,0),1)</f>
        <v>Shoulder</v>
      </c>
      <c r="F265" s="22">
        <f>'Elec Futures'!H265</f>
        <v>0</v>
      </c>
      <c r="G265" s="22">
        <f>'Elec Futures'!I265</f>
        <v>0</v>
      </c>
      <c r="H265" s="131"/>
      <c r="I265" s="22">
        <f>IFERROR('NG Futures'!$I271*HR_Low_Plant/1000,"Data Missing")</f>
        <v>0</v>
      </c>
      <c r="J265" s="22">
        <f>IFERROR('NG Futures'!$I271*HR_High_Plant/1000,"Data Missing")</f>
        <v>0</v>
      </c>
      <c r="K265" s="131"/>
      <c r="L265" s="22">
        <f ca="1">IFERROR(INDEX(Spark_Spread_On,MATCH($C265,Adjustments!$H$3:$H$14,0),1)+IF(INDEX(Spark_Spread_On,MATCH($C265,Adjustments!$H$3:$H$14,0),1)&gt;1,INDEX(Spark_Spread_On,MATCH($C265,Adjustments!$H$3:$H$14,0),1)*(Inflation_Rate+BLS_Esc_Rate),-INDEX(Spark_Spread_On,MATCH($C265,Adjustments!$H$3:$H$14,0),1)*(Inflation_Rate+BLS_Esc_Rate)),"Data Missing")</f>
        <v>22.485829134622783</v>
      </c>
      <c r="M265" s="22">
        <f ca="1">IFERROR(INDEX(Spark_Spread_Off,MATCH($C265,Adjustments!$H$3:$H$14,0),1)+IF(INDEX(Spark_Spread_Off,MATCH($C265,Adjustments!$H$3:$H$14,0),1)&gt;1,INDEX(Spark_Spread_Off,MATCH($C265,Adjustments!$H$3:$H$14,0),1)*(Inflation_Rate+BLS_Esc_Rate),-INDEX(Spark_Spread_Off,MATCH($C265,Adjustments!$H$3:$H$14,0),1)*(Inflation_Rate+BLS_Esc_Rate)),"Data Missing")</f>
        <v>20.092402274981513</v>
      </c>
      <c r="N265" s="131"/>
      <c r="O265" s="24">
        <f t="shared" ca="1" si="24"/>
        <v>22.485829134622783</v>
      </c>
      <c r="P265" s="24">
        <f t="shared" ca="1" si="28"/>
        <v>20.092402274981513</v>
      </c>
    </row>
    <row r="266" spans="1:16" x14ac:dyDescent="0.25">
      <c r="A266" s="3">
        <v>264</v>
      </c>
      <c r="B266" s="19">
        <f t="shared" si="25"/>
        <v>54027</v>
      </c>
      <c r="C266" s="9" t="str">
        <f t="shared" si="26"/>
        <v>Dec</v>
      </c>
      <c r="D266" s="9">
        <f t="shared" si="27"/>
        <v>2047</v>
      </c>
      <c r="E266" s="9" t="str">
        <f>INDEX(Seasons,MATCH($C266,'General Inputs'!$B$20:$B$31,0),1)</f>
        <v>Winter</v>
      </c>
      <c r="F266" s="22">
        <f>'Elec Futures'!H266</f>
        <v>0</v>
      </c>
      <c r="G266" s="22">
        <f>'Elec Futures'!I266</f>
        <v>0</v>
      </c>
      <c r="H266" s="131"/>
      <c r="I266" s="22">
        <f>IFERROR('NG Futures'!$I272*HR_Low_Plant/1000,"Data Missing")</f>
        <v>0</v>
      </c>
      <c r="J266" s="22">
        <f>IFERROR('NG Futures'!$I272*HR_High_Plant/1000,"Data Missing")</f>
        <v>0</v>
      </c>
      <c r="K266" s="131"/>
      <c r="L266" s="22">
        <f ca="1">IFERROR(INDEX(Spark_Spread_On,MATCH($C266,Adjustments!$H$3:$H$14,0),1)+IF(INDEX(Spark_Spread_On,MATCH($C266,Adjustments!$H$3:$H$14,0),1)&gt;1,INDEX(Spark_Spread_On,MATCH($C266,Adjustments!$H$3:$H$14,0),1)*(Inflation_Rate+BLS_Esc_Rate),-INDEX(Spark_Spread_On,MATCH($C266,Adjustments!$H$3:$H$14,0),1)*(Inflation_Rate+BLS_Esc_Rate)),"Data Missing")</f>
        <v>11.430346668590539</v>
      </c>
      <c r="M266" s="22">
        <f ca="1">IFERROR(INDEX(Spark_Spread_Off,MATCH($C266,Adjustments!$H$3:$H$14,0),1)+IF(INDEX(Spark_Spread_Off,MATCH($C266,Adjustments!$H$3:$H$14,0),1)&gt;1,INDEX(Spark_Spread_Off,MATCH($C266,Adjustments!$H$3:$H$14,0),1)*(Inflation_Rate+BLS_Esc_Rate),-INDEX(Spark_Spread_Off,MATCH($C266,Adjustments!$H$3:$H$14,0),1)*(Inflation_Rate+BLS_Esc_Rate)),"Data Missing")</f>
        <v>16.391451942721986</v>
      </c>
      <c r="N266" s="131"/>
      <c r="O266" s="24">
        <f t="shared" ca="1" si="24"/>
        <v>11.430346668590539</v>
      </c>
      <c r="P266" s="24">
        <f t="shared" ca="1" si="28"/>
        <v>16.391451942721986</v>
      </c>
    </row>
    <row r="267" spans="1:16" s="127" customFormat="1" x14ac:dyDescent="0.25">
      <c r="F267" s="128"/>
      <c r="G267" s="128"/>
      <c r="H267" s="128"/>
      <c r="I267" s="128"/>
      <c r="J267" s="128"/>
      <c r="K267" s="128"/>
      <c r="L267" s="128"/>
      <c r="M267" s="128"/>
      <c r="N267" s="128"/>
      <c r="O267" s="128"/>
      <c r="P267" s="128"/>
    </row>
    <row r="268" spans="1:16" s="127" customFormat="1" x14ac:dyDescent="0.25">
      <c r="F268" s="128"/>
      <c r="G268" s="128"/>
      <c r="H268" s="128"/>
      <c r="I268" s="128"/>
      <c r="J268" s="128"/>
      <c r="K268" s="128"/>
      <c r="L268" s="128"/>
      <c r="M268" s="128"/>
      <c r="N268" s="128"/>
      <c r="O268" s="128"/>
      <c r="P268" s="128"/>
    </row>
    <row r="269" spans="1:16" s="127" customFormat="1" x14ac:dyDescent="0.25">
      <c r="F269" s="128"/>
      <c r="G269" s="128"/>
      <c r="H269" s="128"/>
      <c r="I269" s="128"/>
      <c r="J269" s="128"/>
      <c r="K269" s="128"/>
      <c r="L269" s="128"/>
      <c r="M269" s="128"/>
      <c r="N269" s="128"/>
      <c r="O269" s="128"/>
      <c r="P269" s="128"/>
    </row>
    <row r="270" spans="1:16" s="127" customFormat="1" x14ac:dyDescent="0.25">
      <c r="F270" s="128"/>
      <c r="G270" s="128"/>
      <c r="H270" s="128"/>
      <c r="I270" s="128"/>
      <c r="J270" s="128"/>
      <c r="K270" s="128"/>
      <c r="L270" s="128"/>
      <c r="M270" s="128"/>
      <c r="N270" s="128"/>
      <c r="O270" s="128"/>
      <c r="P270" s="128"/>
    </row>
    <row r="271" spans="1:16" s="127" customFormat="1" x14ac:dyDescent="0.25">
      <c r="F271" s="128"/>
      <c r="G271" s="128"/>
      <c r="H271" s="128"/>
      <c r="I271" s="128"/>
      <c r="J271" s="128"/>
      <c r="K271" s="128"/>
      <c r="L271" s="128"/>
      <c r="M271" s="128"/>
      <c r="N271" s="128"/>
      <c r="O271" s="128"/>
      <c r="P271" s="128"/>
    </row>
    <row r="272" spans="1:16" s="127" customFormat="1" x14ac:dyDescent="0.25">
      <c r="F272" s="128"/>
      <c r="G272" s="128"/>
      <c r="H272" s="128"/>
      <c r="I272" s="128"/>
      <c r="J272" s="128"/>
      <c r="K272" s="128"/>
      <c r="L272" s="128"/>
      <c r="M272" s="128"/>
      <c r="N272" s="128"/>
      <c r="O272" s="128"/>
      <c r="P272" s="128"/>
    </row>
    <row r="273" spans="6:16" s="127" customFormat="1" x14ac:dyDescent="0.25">
      <c r="F273" s="128"/>
      <c r="G273" s="128"/>
      <c r="H273" s="128"/>
      <c r="I273" s="128"/>
      <c r="J273" s="128"/>
      <c r="K273" s="128"/>
      <c r="L273" s="128"/>
      <c r="M273" s="128"/>
      <c r="N273" s="128"/>
      <c r="O273" s="128"/>
      <c r="P273" s="128"/>
    </row>
    <row r="274" spans="6:16" s="127" customFormat="1" x14ac:dyDescent="0.25">
      <c r="F274" s="128"/>
      <c r="G274" s="128"/>
      <c r="H274" s="128"/>
      <c r="I274" s="128"/>
      <c r="J274" s="128"/>
      <c r="K274" s="128"/>
      <c r="L274" s="128"/>
      <c r="M274" s="128"/>
      <c r="N274" s="128"/>
      <c r="O274" s="128"/>
      <c r="P274" s="128"/>
    </row>
    <row r="275" spans="6:16" s="127" customFormat="1" x14ac:dyDescent="0.25">
      <c r="F275" s="128"/>
      <c r="G275" s="128"/>
      <c r="H275" s="128"/>
      <c r="I275" s="128"/>
      <c r="J275" s="128"/>
      <c r="K275" s="128"/>
      <c r="L275" s="128"/>
      <c r="M275" s="128"/>
      <c r="N275" s="128"/>
      <c r="O275" s="128"/>
      <c r="P275" s="128"/>
    </row>
    <row r="276" spans="6:16" s="127" customFormat="1" x14ac:dyDescent="0.25">
      <c r="F276" s="128"/>
      <c r="G276" s="128"/>
      <c r="H276" s="128"/>
      <c r="I276" s="128"/>
      <c r="J276" s="128"/>
      <c r="K276" s="128"/>
      <c r="L276" s="128"/>
      <c r="M276" s="128"/>
      <c r="N276" s="128"/>
      <c r="O276" s="128"/>
      <c r="P276" s="128"/>
    </row>
    <row r="277" spans="6:16" s="127" customFormat="1" x14ac:dyDescent="0.25">
      <c r="F277" s="128"/>
      <c r="G277" s="128"/>
      <c r="H277" s="128"/>
      <c r="I277" s="128"/>
      <c r="J277" s="128"/>
      <c r="K277" s="128"/>
      <c r="L277" s="128"/>
      <c r="M277" s="128"/>
      <c r="N277" s="128"/>
      <c r="O277" s="128"/>
      <c r="P277" s="128"/>
    </row>
    <row r="278" spans="6:16" s="127" customFormat="1" x14ac:dyDescent="0.25">
      <c r="F278" s="128"/>
      <c r="G278" s="128"/>
      <c r="H278" s="128"/>
      <c r="I278" s="128"/>
      <c r="J278" s="128"/>
      <c r="K278" s="128"/>
      <c r="L278" s="128"/>
      <c r="M278" s="128"/>
      <c r="N278" s="128"/>
      <c r="O278" s="128"/>
      <c r="P278" s="128"/>
    </row>
    <row r="279" spans="6:16" s="127" customFormat="1" x14ac:dyDescent="0.25">
      <c r="F279" s="128"/>
      <c r="G279" s="128"/>
      <c r="H279" s="128"/>
      <c r="I279" s="128"/>
      <c r="J279" s="128"/>
      <c r="K279" s="128"/>
      <c r="L279" s="128"/>
      <c r="M279" s="128"/>
      <c r="N279" s="128"/>
      <c r="O279" s="128"/>
      <c r="P279" s="128"/>
    </row>
    <row r="280" spans="6:16" s="127" customFormat="1" x14ac:dyDescent="0.25">
      <c r="F280" s="128"/>
      <c r="G280" s="128"/>
      <c r="H280" s="128"/>
      <c r="I280" s="128"/>
      <c r="J280" s="128"/>
      <c r="K280" s="128"/>
      <c r="L280" s="128"/>
      <c r="M280" s="128"/>
      <c r="N280" s="128"/>
      <c r="O280" s="128"/>
      <c r="P280" s="128"/>
    </row>
    <row r="281" spans="6:16" s="127" customFormat="1" x14ac:dyDescent="0.25">
      <c r="F281" s="128"/>
      <c r="G281" s="128"/>
      <c r="H281" s="128"/>
      <c r="I281" s="128"/>
      <c r="J281" s="128"/>
      <c r="K281" s="128"/>
      <c r="L281" s="128"/>
      <c r="M281" s="128"/>
      <c r="N281" s="128"/>
      <c r="O281" s="128"/>
      <c r="P281" s="128"/>
    </row>
    <row r="282" spans="6:16" s="127" customFormat="1" x14ac:dyDescent="0.25">
      <c r="F282" s="128"/>
      <c r="G282" s="128"/>
      <c r="H282" s="128"/>
      <c r="I282" s="128"/>
      <c r="J282" s="128"/>
      <c r="K282" s="128"/>
      <c r="L282" s="128"/>
      <c r="M282" s="128"/>
      <c r="N282" s="128"/>
      <c r="O282" s="128"/>
      <c r="P282" s="128"/>
    </row>
    <row r="283" spans="6:16" s="127" customFormat="1" x14ac:dyDescent="0.25">
      <c r="F283" s="128"/>
      <c r="G283" s="128"/>
      <c r="H283" s="128"/>
      <c r="I283" s="128"/>
      <c r="J283" s="128"/>
      <c r="K283" s="128"/>
      <c r="L283" s="128"/>
      <c r="M283" s="128"/>
      <c r="N283" s="128"/>
      <c r="O283" s="128"/>
      <c r="P283" s="128"/>
    </row>
    <row r="284" spans="6:16" s="127" customFormat="1" x14ac:dyDescent="0.25">
      <c r="F284" s="128"/>
      <c r="G284" s="128"/>
      <c r="H284" s="128"/>
      <c r="I284" s="128"/>
      <c r="J284" s="128"/>
      <c r="K284" s="128"/>
      <c r="L284" s="128"/>
      <c r="M284" s="128"/>
      <c r="N284" s="128"/>
      <c r="O284" s="128"/>
      <c r="P284" s="128"/>
    </row>
    <row r="285" spans="6:16" s="127" customFormat="1" x14ac:dyDescent="0.25">
      <c r="F285" s="128"/>
      <c r="G285" s="128"/>
      <c r="H285" s="128"/>
      <c r="I285" s="128"/>
      <c r="J285" s="128"/>
      <c r="K285" s="128"/>
      <c r="L285" s="128"/>
      <c r="M285" s="128"/>
      <c r="N285" s="128"/>
      <c r="O285" s="128"/>
      <c r="P285" s="128"/>
    </row>
    <row r="286" spans="6:16" s="127" customFormat="1" x14ac:dyDescent="0.25">
      <c r="F286" s="128"/>
      <c r="G286" s="128"/>
      <c r="H286" s="128"/>
      <c r="I286" s="128"/>
      <c r="J286" s="128"/>
      <c r="K286" s="128"/>
      <c r="L286" s="128"/>
      <c r="M286" s="128"/>
      <c r="N286" s="128"/>
      <c r="O286" s="128"/>
      <c r="P286" s="128"/>
    </row>
    <row r="287" spans="6:16" s="127" customFormat="1" x14ac:dyDescent="0.25">
      <c r="F287" s="128"/>
      <c r="G287" s="128"/>
      <c r="H287" s="128"/>
      <c r="I287" s="128"/>
      <c r="J287" s="128"/>
      <c r="K287" s="128"/>
      <c r="L287" s="128"/>
      <c r="M287" s="128"/>
      <c r="N287" s="128"/>
      <c r="O287" s="128"/>
      <c r="P287" s="128"/>
    </row>
    <row r="288" spans="6:16" s="127" customFormat="1" x14ac:dyDescent="0.25">
      <c r="F288" s="128"/>
      <c r="G288" s="128"/>
      <c r="H288" s="128"/>
      <c r="I288" s="128"/>
      <c r="J288" s="128"/>
      <c r="K288" s="128"/>
      <c r="L288" s="128"/>
      <c r="M288" s="128"/>
      <c r="N288" s="128"/>
      <c r="O288" s="128"/>
      <c r="P288" s="128"/>
    </row>
    <row r="289" spans="6:16" s="127" customFormat="1" x14ac:dyDescent="0.25">
      <c r="F289" s="128"/>
      <c r="G289" s="128"/>
      <c r="H289" s="128"/>
      <c r="I289" s="128"/>
      <c r="J289" s="128"/>
      <c r="K289" s="128"/>
      <c r="L289" s="128"/>
      <c r="M289" s="128"/>
      <c r="N289" s="128"/>
      <c r="O289" s="128"/>
      <c r="P289" s="128"/>
    </row>
    <row r="290" spans="6:16" s="127" customFormat="1" x14ac:dyDescent="0.25">
      <c r="F290" s="128"/>
      <c r="G290" s="128"/>
      <c r="H290" s="128"/>
      <c r="I290" s="128"/>
      <c r="J290" s="128"/>
      <c r="K290" s="128"/>
      <c r="L290" s="128"/>
      <c r="M290" s="128"/>
      <c r="N290" s="128"/>
      <c r="O290" s="128"/>
      <c r="P290" s="128"/>
    </row>
    <row r="291" spans="6:16" s="127" customFormat="1" x14ac:dyDescent="0.25">
      <c r="F291" s="128"/>
      <c r="G291" s="128"/>
      <c r="H291" s="128"/>
      <c r="I291" s="128"/>
      <c r="J291" s="128"/>
      <c r="K291" s="128"/>
      <c r="L291" s="128"/>
      <c r="M291" s="128"/>
      <c r="N291" s="128"/>
      <c r="O291" s="128"/>
      <c r="P291" s="128"/>
    </row>
    <row r="292" spans="6:16" s="127" customFormat="1" x14ac:dyDescent="0.25">
      <c r="F292" s="128"/>
      <c r="G292" s="128"/>
      <c r="H292" s="128"/>
      <c r="I292" s="128"/>
      <c r="J292" s="128"/>
      <c r="K292" s="128"/>
      <c r="L292" s="128"/>
      <c r="M292" s="128"/>
      <c r="N292" s="128"/>
      <c r="O292" s="128"/>
      <c r="P292" s="128"/>
    </row>
    <row r="293" spans="6:16" s="127" customFormat="1" x14ac:dyDescent="0.25">
      <c r="F293" s="128"/>
      <c r="G293" s="128"/>
      <c r="H293" s="128"/>
      <c r="I293" s="128"/>
      <c r="J293" s="128"/>
      <c r="K293" s="128"/>
      <c r="L293" s="128"/>
      <c r="M293" s="128"/>
      <c r="N293" s="128"/>
      <c r="O293" s="128"/>
      <c r="P293" s="128"/>
    </row>
    <row r="294" spans="6:16" s="127" customFormat="1" x14ac:dyDescent="0.25">
      <c r="F294" s="128"/>
      <c r="G294" s="128"/>
      <c r="H294" s="128"/>
      <c r="I294" s="128"/>
      <c r="J294" s="128"/>
      <c r="K294" s="128"/>
      <c r="L294" s="128"/>
      <c r="M294" s="128"/>
      <c r="N294" s="128"/>
      <c r="O294" s="128"/>
      <c r="P294" s="128"/>
    </row>
    <row r="295" spans="6:16" s="127" customFormat="1" x14ac:dyDescent="0.25">
      <c r="F295" s="128"/>
      <c r="G295" s="128"/>
      <c r="H295" s="128"/>
      <c r="I295" s="128"/>
      <c r="J295" s="128"/>
      <c r="K295" s="128"/>
      <c r="L295" s="128"/>
      <c r="M295" s="128"/>
      <c r="N295" s="128"/>
      <c r="O295" s="128"/>
      <c r="P295" s="128"/>
    </row>
    <row r="296" spans="6:16" s="127" customFormat="1" x14ac:dyDescent="0.25">
      <c r="F296" s="128"/>
      <c r="G296" s="128"/>
      <c r="H296" s="128"/>
      <c r="I296" s="128"/>
      <c r="J296" s="128"/>
      <c r="K296" s="128"/>
      <c r="L296" s="128"/>
      <c r="M296" s="128"/>
      <c r="N296" s="128"/>
      <c r="O296" s="128"/>
      <c r="P296" s="128"/>
    </row>
    <row r="297" spans="6:16" s="127" customFormat="1" x14ac:dyDescent="0.25">
      <c r="F297" s="128"/>
      <c r="G297" s="128"/>
      <c r="H297" s="128"/>
      <c r="I297" s="128"/>
      <c r="J297" s="128"/>
      <c r="K297" s="128"/>
      <c r="L297" s="128"/>
      <c r="M297" s="128"/>
      <c r="N297" s="128"/>
      <c r="O297" s="128"/>
      <c r="P297" s="128"/>
    </row>
    <row r="298" spans="6:16" s="127" customFormat="1" x14ac:dyDescent="0.25">
      <c r="F298" s="128"/>
      <c r="G298" s="128"/>
      <c r="H298" s="128"/>
      <c r="I298" s="128"/>
      <c r="J298" s="128"/>
      <c r="K298" s="128"/>
      <c r="L298" s="128"/>
      <c r="M298" s="128"/>
      <c r="N298" s="128"/>
      <c r="O298" s="128"/>
      <c r="P298" s="128"/>
    </row>
    <row r="299" spans="6:16" s="127" customFormat="1" x14ac:dyDescent="0.25">
      <c r="F299" s="128"/>
      <c r="G299" s="128"/>
      <c r="H299" s="128"/>
      <c r="I299" s="128"/>
      <c r="J299" s="128"/>
      <c r="K299" s="128"/>
      <c r="L299" s="128"/>
      <c r="M299" s="128"/>
      <c r="N299" s="128"/>
      <c r="O299" s="128"/>
      <c r="P299" s="128"/>
    </row>
    <row r="300" spans="6:16" s="127" customFormat="1" x14ac:dyDescent="0.25">
      <c r="F300" s="128"/>
      <c r="G300" s="128"/>
      <c r="H300" s="128"/>
      <c r="I300" s="128"/>
      <c r="J300" s="128"/>
      <c r="K300" s="128"/>
      <c r="L300" s="128"/>
      <c r="M300" s="128"/>
      <c r="N300" s="128"/>
      <c r="O300" s="128"/>
      <c r="P300" s="128"/>
    </row>
    <row r="301" spans="6:16" s="127" customFormat="1" x14ac:dyDescent="0.25">
      <c r="F301" s="128"/>
      <c r="G301" s="128"/>
      <c r="H301" s="128"/>
      <c r="I301" s="128"/>
      <c r="J301" s="128"/>
      <c r="K301" s="128"/>
      <c r="L301" s="128"/>
      <c r="M301" s="128"/>
      <c r="N301" s="128"/>
      <c r="O301" s="128"/>
      <c r="P301" s="128"/>
    </row>
    <row r="302" spans="6:16" s="127" customFormat="1" x14ac:dyDescent="0.25">
      <c r="F302" s="128"/>
      <c r="G302" s="128"/>
      <c r="H302" s="128"/>
      <c r="I302" s="128"/>
      <c r="J302" s="128"/>
      <c r="K302" s="128"/>
      <c r="L302" s="128"/>
      <c r="M302" s="128"/>
      <c r="N302" s="128"/>
      <c r="O302" s="128"/>
      <c r="P302" s="128"/>
    </row>
    <row r="303" spans="6:16" s="127" customFormat="1" x14ac:dyDescent="0.25">
      <c r="F303" s="128"/>
      <c r="G303" s="128"/>
      <c r="H303" s="128"/>
      <c r="I303" s="128"/>
      <c r="J303" s="128"/>
      <c r="K303" s="128"/>
      <c r="L303" s="128"/>
      <c r="M303" s="128"/>
      <c r="N303" s="128"/>
      <c r="O303" s="128"/>
      <c r="P303" s="128"/>
    </row>
    <row r="304" spans="6:16" s="127" customFormat="1" x14ac:dyDescent="0.25">
      <c r="F304" s="128"/>
      <c r="G304" s="128"/>
      <c r="H304" s="128"/>
      <c r="I304" s="128"/>
      <c r="J304" s="128"/>
      <c r="K304" s="128"/>
      <c r="L304" s="128"/>
      <c r="M304" s="128"/>
      <c r="N304" s="128"/>
      <c r="O304" s="128"/>
      <c r="P304" s="128"/>
    </row>
    <row r="305" spans="6:16" s="127" customFormat="1" x14ac:dyDescent="0.25">
      <c r="F305" s="128"/>
      <c r="G305" s="128"/>
      <c r="H305" s="128"/>
      <c r="I305" s="128"/>
      <c r="J305" s="128"/>
      <c r="K305" s="128"/>
      <c r="L305" s="128"/>
      <c r="M305" s="128"/>
      <c r="N305" s="128"/>
      <c r="O305" s="128"/>
      <c r="P305" s="128"/>
    </row>
    <row r="306" spans="6:16" s="127" customFormat="1" x14ac:dyDescent="0.25">
      <c r="F306" s="128"/>
      <c r="G306" s="128"/>
      <c r="H306" s="128"/>
      <c r="I306" s="128"/>
      <c r="J306" s="128"/>
      <c r="K306" s="128"/>
      <c r="L306" s="128"/>
      <c r="M306" s="128"/>
      <c r="N306" s="128"/>
      <c r="O306" s="128"/>
      <c r="P306" s="128"/>
    </row>
    <row r="307" spans="6:16" s="127" customFormat="1" x14ac:dyDescent="0.25">
      <c r="F307" s="128"/>
      <c r="G307" s="128"/>
      <c r="H307" s="128"/>
      <c r="I307" s="128"/>
      <c r="J307" s="128"/>
      <c r="K307" s="128"/>
      <c r="L307" s="128"/>
      <c r="M307" s="128"/>
      <c r="N307" s="128"/>
      <c r="O307" s="128"/>
      <c r="P307" s="128"/>
    </row>
    <row r="308" spans="6:16" s="127" customFormat="1" x14ac:dyDescent="0.25">
      <c r="F308" s="128"/>
      <c r="G308" s="128"/>
      <c r="H308" s="128"/>
      <c r="I308" s="128"/>
      <c r="J308" s="128"/>
      <c r="K308" s="128"/>
      <c r="L308" s="128"/>
      <c r="M308" s="128"/>
      <c r="N308" s="128"/>
      <c r="O308" s="128"/>
      <c r="P308" s="128"/>
    </row>
    <row r="309" spans="6:16" s="127" customFormat="1" x14ac:dyDescent="0.25">
      <c r="F309" s="128"/>
      <c r="G309" s="128"/>
      <c r="H309" s="128"/>
      <c r="I309" s="128"/>
      <c r="J309" s="128"/>
      <c r="K309" s="128"/>
      <c r="L309" s="128"/>
      <c r="M309" s="128"/>
      <c r="N309" s="128"/>
      <c r="O309" s="128"/>
      <c r="P309" s="128"/>
    </row>
    <row r="310" spans="6:16" s="127" customFormat="1" x14ac:dyDescent="0.25">
      <c r="F310" s="128"/>
      <c r="G310" s="128"/>
      <c r="H310" s="128"/>
      <c r="I310" s="128"/>
      <c r="J310" s="128"/>
      <c r="K310" s="128"/>
      <c r="L310" s="128"/>
      <c r="M310" s="128"/>
      <c r="N310" s="128"/>
      <c r="O310" s="128"/>
      <c r="P310" s="128"/>
    </row>
    <row r="311" spans="6:16" s="127" customFormat="1" x14ac:dyDescent="0.25">
      <c r="F311" s="128"/>
      <c r="G311" s="128"/>
      <c r="H311" s="128"/>
      <c r="I311" s="128"/>
      <c r="J311" s="128"/>
      <c r="K311" s="128"/>
      <c r="L311" s="128"/>
      <c r="M311" s="128"/>
      <c r="N311" s="128"/>
      <c r="O311" s="128"/>
      <c r="P311" s="128"/>
    </row>
    <row r="312" spans="6:16" s="127" customFormat="1" x14ac:dyDescent="0.25">
      <c r="F312" s="128"/>
      <c r="G312" s="128"/>
      <c r="H312" s="128"/>
      <c r="I312" s="128"/>
      <c r="J312" s="128"/>
      <c r="K312" s="128"/>
      <c r="L312" s="128"/>
      <c r="M312" s="128"/>
      <c r="N312" s="128"/>
      <c r="O312" s="128"/>
      <c r="P312" s="128"/>
    </row>
    <row r="313" spans="6:16" s="127" customFormat="1" x14ac:dyDescent="0.25">
      <c r="F313" s="128"/>
      <c r="G313" s="128"/>
      <c r="H313" s="128"/>
      <c r="I313" s="128"/>
      <c r="J313" s="128"/>
      <c r="K313" s="128"/>
      <c r="L313" s="128"/>
      <c r="M313" s="128"/>
      <c r="N313" s="128"/>
      <c r="O313" s="128"/>
      <c r="P313" s="128"/>
    </row>
    <row r="314" spans="6:16" s="127" customFormat="1" x14ac:dyDescent="0.25">
      <c r="F314" s="128"/>
      <c r="G314" s="128"/>
      <c r="H314" s="128"/>
      <c r="I314" s="128"/>
      <c r="J314" s="128"/>
      <c r="K314" s="128"/>
      <c r="L314" s="128"/>
      <c r="M314" s="128"/>
      <c r="N314" s="128"/>
      <c r="O314" s="128"/>
      <c r="P314" s="128"/>
    </row>
    <row r="315" spans="6:16" s="127" customFormat="1" x14ac:dyDescent="0.25">
      <c r="F315" s="128"/>
      <c r="G315" s="128"/>
      <c r="H315" s="128"/>
      <c r="I315" s="128"/>
      <c r="J315" s="128"/>
      <c r="K315" s="128"/>
      <c r="L315" s="128"/>
      <c r="M315" s="128"/>
      <c r="N315" s="128"/>
      <c r="O315" s="128"/>
      <c r="P315" s="128"/>
    </row>
    <row r="316" spans="6:16" s="127" customFormat="1" x14ac:dyDescent="0.25">
      <c r="F316" s="128"/>
      <c r="G316" s="128"/>
      <c r="H316" s="128"/>
      <c r="I316" s="128"/>
      <c r="J316" s="128"/>
      <c r="K316" s="128"/>
      <c r="L316" s="128"/>
      <c r="M316" s="128"/>
      <c r="N316" s="128"/>
      <c r="O316" s="128"/>
      <c r="P316" s="128"/>
    </row>
    <row r="317" spans="6:16" s="127" customFormat="1" x14ac:dyDescent="0.25">
      <c r="F317" s="128"/>
      <c r="G317" s="128"/>
      <c r="H317" s="128"/>
      <c r="I317" s="128"/>
      <c r="J317" s="128"/>
      <c r="K317" s="128"/>
      <c r="L317" s="128"/>
      <c r="M317" s="128"/>
      <c r="N317" s="128"/>
      <c r="O317" s="128"/>
      <c r="P317" s="128"/>
    </row>
    <row r="318" spans="6:16" s="127" customFormat="1" x14ac:dyDescent="0.25">
      <c r="F318" s="128"/>
      <c r="G318" s="128"/>
      <c r="H318" s="128"/>
      <c r="I318" s="128"/>
      <c r="J318" s="128"/>
      <c r="K318" s="128"/>
      <c r="L318" s="128"/>
      <c r="M318" s="128"/>
      <c r="N318" s="128"/>
      <c r="O318" s="128"/>
      <c r="P318" s="128"/>
    </row>
    <row r="319" spans="6:16" s="127" customFormat="1" x14ac:dyDescent="0.25">
      <c r="F319" s="128"/>
      <c r="G319" s="128"/>
      <c r="H319" s="128"/>
      <c r="I319" s="128"/>
      <c r="J319" s="128"/>
      <c r="K319" s="128"/>
      <c r="L319" s="128"/>
      <c r="M319" s="128"/>
      <c r="N319" s="128"/>
      <c r="O319" s="128"/>
      <c r="P319" s="128"/>
    </row>
    <row r="320" spans="6:16" s="127" customFormat="1" x14ac:dyDescent="0.25">
      <c r="F320" s="128"/>
      <c r="G320" s="128"/>
      <c r="H320" s="128"/>
      <c r="I320" s="128"/>
      <c r="J320" s="128"/>
      <c r="K320" s="128"/>
      <c r="L320" s="128"/>
      <c r="M320" s="128"/>
      <c r="N320" s="128"/>
      <c r="O320" s="128"/>
      <c r="P320" s="128"/>
    </row>
    <row r="321" spans="6:16" s="127" customFormat="1" x14ac:dyDescent="0.25">
      <c r="F321" s="128"/>
      <c r="G321" s="128"/>
      <c r="H321" s="128"/>
      <c r="I321" s="128"/>
      <c r="J321" s="128"/>
      <c r="K321" s="128"/>
      <c r="L321" s="128"/>
      <c r="M321" s="128"/>
      <c r="N321" s="128"/>
      <c r="O321" s="128"/>
      <c r="P321" s="128"/>
    </row>
    <row r="322" spans="6:16" s="127" customFormat="1" x14ac:dyDescent="0.25">
      <c r="F322" s="128"/>
      <c r="G322" s="128"/>
      <c r="H322" s="128"/>
      <c r="I322" s="128"/>
      <c r="J322" s="128"/>
      <c r="K322" s="128"/>
      <c r="L322" s="128"/>
      <c r="M322" s="128"/>
      <c r="N322" s="128"/>
      <c r="O322" s="128"/>
      <c r="P322" s="128"/>
    </row>
    <row r="323" spans="6:16" s="127" customFormat="1" x14ac:dyDescent="0.25">
      <c r="F323" s="128"/>
      <c r="G323" s="128"/>
      <c r="H323" s="128"/>
      <c r="I323" s="128"/>
      <c r="J323" s="128"/>
      <c r="K323" s="128"/>
      <c r="L323" s="128"/>
      <c r="M323" s="128"/>
      <c r="N323" s="128"/>
      <c r="O323" s="128"/>
      <c r="P323" s="128"/>
    </row>
    <row r="324" spans="6:16" s="127" customFormat="1" x14ac:dyDescent="0.25">
      <c r="F324" s="128"/>
      <c r="G324" s="128"/>
      <c r="H324" s="128"/>
      <c r="I324" s="128"/>
      <c r="J324" s="128"/>
      <c r="K324" s="128"/>
      <c r="L324" s="128"/>
      <c r="M324" s="128"/>
      <c r="N324" s="128"/>
      <c r="O324" s="128"/>
      <c r="P324" s="128"/>
    </row>
    <row r="325" spans="6:16" s="127" customFormat="1" x14ac:dyDescent="0.25">
      <c r="F325" s="128"/>
      <c r="G325" s="128"/>
      <c r="H325" s="128"/>
      <c r="I325" s="128"/>
      <c r="J325" s="128"/>
      <c r="K325" s="128"/>
      <c r="L325" s="128"/>
      <c r="M325" s="128"/>
      <c r="N325" s="128"/>
      <c r="O325" s="128"/>
      <c r="P325" s="128"/>
    </row>
    <row r="326" spans="6:16" s="127" customFormat="1" x14ac:dyDescent="0.25">
      <c r="F326" s="128"/>
      <c r="G326" s="128"/>
      <c r="H326" s="128"/>
      <c r="I326" s="128"/>
      <c r="J326" s="128"/>
      <c r="K326" s="128"/>
      <c r="L326" s="128"/>
      <c r="M326" s="128"/>
      <c r="N326" s="128"/>
      <c r="O326" s="128"/>
      <c r="P326" s="128"/>
    </row>
    <row r="327" spans="6:16" s="127" customFormat="1" x14ac:dyDescent="0.25">
      <c r="F327" s="128"/>
      <c r="G327" s="128"/>
      <c r="H327" s="128"/>
      <c r="I327" s="128"/>
      <c r="J327" s="128"/>
      <c r="K327" s="128"/>
      <c r="L327" s="128"/>
      <c r="M327" s="128"/>
      <c r="N327" s="128"/>
      <c r="O327" s="128"/>
      <c r="P327" s="128"/>
    </row>
    <row r="328" spans="6:16" s="127" customFormat="1" x14ac:dyDescent="0.25">
      <c r="F328" s="128"/>
      <c r="G328" s="128"/>
      <c r="H328" s="128"/>
      <c r="I328" s="128"/>
      <c r="J328" s="128"/>
      <c r="K328" s="128"/>
      <c r="L328" s="128"/>
      <c r="M328" s="128"/>
      <c r="N328" s="128"/>
      <c r="O328" s="128"/>
      <c r="P328" s="128"/>
    </row>
    <row r="329" spans="6:16" s="127" customFormat="1" x14ac:dyDescent="0.25">
      <c r="F329" s="128"/>
      <c r="G329" s="128"/>
      <c r="H329" s="128"/>
      <c r="I329" s="128"/>
      <c r="J329" s="128"/>
      <c r="K329" s="128"/>
      <c r="L329" s="128"/>
      <c r="M329" s="128"/>
      <c r="N329" s="128"/>
      <c r="O329" s="128"/>
      <c r="P329" s="128"/>
    </row>
    <row r="330" spans="6:16" s="127" customFormat="1" x14ac:dyDescent="0.25">
      <c r="F330" s="128"/>
      <c r="G330" s="128"/>
      <c r="H330" s="128"/>
      <c r="I330" s="128"/>
      <c r="J330" s="128"/>
      <c r="K330" s="128"/>
      <c r="L330" s="128"/>
      <c r="M330" s="128"/>
      <c r="N330" s="128"/>
      <c r="O330" s="128"/>
      <c r="P330" s="128"/>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9" tint="0.79998168889431442"/>
  </sheetPr>
  <dimension ref="A1:AZ158"/>
  <sheetViews>
    <sheetView zoomScale="98" zoomScaleNormal="98" workbookViewId="0">
      <pane ySplit="2" topLeftCell="A3" activePane="bottomLeft" state="frozen"/>
      <selection pane="bottomLeft" activeCell="P24" sqref="P24"/>
    </sheetView>
  </sheetViews>
  <sheetFormatPr defaultColWidth="8.85546875" defaultRowHeight="15" x14ac:dyDescent="0.25"/>
  <cols>
    <col min="1" max="1" width="9.85546875" customWidth="1"/>
    <col min="3" max="3" width="8" customWidth="1"/>
    <col min="4" max="4" width="9.140625" customWidth="1"/>
    <col min="5" max="5" width="10.140625" customWidth="1"/>
    <col min="6" max="6" width="11.85546875" customWidth="1"/>
    <col min="7" max="7" width="3.140625" style="83" customWidth="1"/>
    <col min="8" max="8" width="10.85546875" bestFit="1" customWidth="1"/>
    <col min="9" max="9" width="10.42578125" customWidth="1"/>
    <col min="10" max="10" width="11.42578125" bestFit="1" customWidth="1"/>
    <col min="11" max="11" width="10.42578125" customWidth="1"/>
    <col min="12" max="12" width="11.42578125" bestFit="1" customWidth="1"/>
    <col min="13" max="13" width="3.140625" style="83" customWidth="1"/>
    <col min="14" max="14" width="12.42578125" bestFit="1" customWidth="1"/>
    <col min="15" max="15" width="37.42578125" customWidth="1"/>
    <col min="16" max="19" width="8.85546875" style="83"/>
    <col min="20" max="20" width="9.5703125" style="83" bestFit="1" customWidth="1"/>
    <col min="21" max="52" width="8.85546875" style="83"/>
  </cols>
  <sheetData>
    <row r="1" spans="1:32" s="83" customFormat="1" ht="54" customHeight="1" x14ac:dyDescent="0.25">
      <c r="U1" s="83" t="s">
        <v>158</v>
      </c>
      <c r="V1" s="83" t="s">
        <v>159</v>
      </c>
      <c r="W1" s="83" t="s">
        <v>160</v>
      </c>
      <c r="X1" s="83" t="s">
        <v>161</v>
      </c>
      <c r="Y1" s="83" t="s">
        <v>162</v>
      </c>
      <c r="Z1" s="83" t="s">
        <v>163</v>
      </c>
    </row>
    <row r="2" spans="1:32" ht="51" x14ac:dyDescent="0.25">
      <c r="A2" s="283" t="s">
        <v>135</v>
      </c>
      <c r="B2" s="283" t="s">
        <v>136</v>
      </c>
      <c r="C2" s="283" t="s">
        <v>137</v>
      </c>
      <c r="D2" s="283" t="s">
        <v>120</v>
      </c>
      <c r="E2" s="5" t="str">
        <f>IFERROR(INDEX('General Inputs'!$C$12:$D$18,MATCH(EDC_NAME,'General Inputs'!$C$12:$C$18,0),2),"Location Gas Price")</f>
        <v>Tetco M-3</v>
      </c>
      <c r="F2" s="98" t="s">
        <v>164</v>
      </c>
      <c r="H2" s="5" t="s">
        <v>137</v>
      </c>
      <c r="I2" s="5" t="s">
        <v>165</v>
      </c>
      <c r="J2" s="5" t="s">
        <v>166</v>
      </c>
      <c r="K2" s="5" t="s">
        <v>167</v>
      </c>
      <c r="L2" s="5" t="s">
        <v>168</v>
      </c>
      <c r="N2" s="83"/>
      <c r="O2" s="83"/>
      <c r="X2" s="35" t="s">
        <v>86</v>
      </c>
      <c r="Y2" s="35" t="s">
        <v>89</v>
      </c>
      <c r="AB2" s="86"/>
      <c r="AC2" s="86"/>
    </row>
    <row r="3" spans="1:32" ht="12.75" customHeight="1" x14ac:dyDescent="0.25">
      <c r="A3" s="3">
        <v>1</v>
      </c>
      <c r="B3" s="8">
        <f t="shared" ref="B3:B50" si="0">DATE(Start_Year-1,A3,1)</f>
        <v>46023</v>
      </c>
      <c r="C3" s="19" t="str">
        <f>CHOOSE(MONTH(B3), "Jan", "Feb", "Mar", "Apr", "May", "Jun", "Jul", "Aug", "Sep", "Oct", "Nov", "Dec")</f>
        <v>Jan</v>
      </c>
      <c r="D3" s="100">
        <f>YEAR(B3)</f>
        <v>2026</v>
      </c>
      <c r="E3" s="162">
        <f t="shared" ref="E3:E5" si="1">INDEX(X3:Y3,1,MATCH($E$2,$X$2:$Y$2,0))</f>
        <v>5.8739999999999997</v>
      </c>
      <c r="F3" s="99">
        <f>IF(ISBLANK(E3),"Data Missing",Adjustments!E3-'NG Futures'!$F9)</f>
        <v>1.7199999999999998</v>
      </c>
      <c r="H3" s="3" t="s">
        <v>100</v>
      </c>
      <c r="I3" s="44">
        <f>IFERROR(AVERAGE(F3,F15,F27,F39), "Data Missing")</f>
        <v>2.5722499999999995</v>
      </c>
      <c r="J3" s="10">
        <f>IFERROR(AVERAGEIF('NG Futures'!$D$21:$D$68,H3,'NG Futures'!$G$21:$G$68)/AVERAGE('NG Futures'!$G$21:$G$68),"Data Missing")</f>
        <v>2.0124710972932696</v>
      </c>
      <c r="K3" s="44">
        <f>IFERROR(AVERAGEIF('Avoided AC'!$C$15:$C$62,$H3,'Avoided AC'!$L$15:$L$62),"Data Missing")</f>
        <v>5.7494358372249614</v>
      </c>
      <c r="L3" s="44">
        <f>IFERROR(AVERAGEIF('Avoided AC'!$C$15:$C$62,$H3,'Avoided AC'!$M$15:$M$62),"Data Missing")</f>
        <v>16.421732069679763</v>
      </c>
      <c r="N3" s="28" t="s">
        <v>169</v>
      </c>
      <c r="O3" s="334" t="s">
        <v>170</v>
      </c>
      <c r="T3" s="236">
        <v>45658</v>
      </c>
      <c r="U3" s="237">
        <v>3.5139999999999998</v>
      </c>
      <c r="V3" s="237">
        <v>3.9459999999999997</v>
      </c>
      <c r="W3" s="237">
        <v>3.1739999999999999</v>
      </c>
      <c r="X3" s="237">
        <v>5.8739999999999997</v>
      </c>
      <c r="Y3" s="237">
        <v>4.7619999999999996</v>
      </c>
      <c r="Z3" s="237">
        <v>9.0519999999999996</v>
      </c>
    </row>
    <row r="4" spans="1:32" ht="12.75" customHeight="1" x14ac:dyDescent="0.25">
      <c r="A4" s="3">
        <v>2</v>
      </c>
      <c r="B4" s="8">
        <f t="shared" si="0"/>
        <v>46054</v>
      </c>
      <c r="C4" s="19" t="str">
        <f t="shared" ref="C4:C50" si="2">CHOOSE(MONTH(B4), "Jan", "Feb", "Mar", "Apr", "May", "Jun", "Jul", "Aug", "Sep", "Oct", "Nov", "Dec")</f>
        <v>Feb</v>
      </c>
      <c r="D4" s="100">
        <f t="shared" ref="D4:D50" si="3">YEAR(B4)</f>
        <v>2026</v>
      </c>
      <c r="E4" s="162">
        <f t="shared" si="1"/>
        <v>4.5</v>
      </c>
      <c r="F4" s="99">
        <f>IF(ISBLANK(E4),"Data Missing",Adjustments!E4-'NG Futures'!$F10)</f>
        <v>0.57600000000000007</v>
      </c>
      <c r="H4" s="3" t="s">
        <v>102</v>
      </c>
      <c r="I4" s="44">
        <f>IFERROR(AVERAGE(F4,F16,F28,F40), "Data Missing")</f>
        <v>2.0454999999999997</v>
      </c>
      <c r="J4" s="10">
        <f>IFERROR(AVERAGEIF('NG Futures'!$D$21:$D$68,H4,'NG Futures'!$G$21:$G$68)/AVERAGE('NG Futures'!$G$21:$G$68),"Data Missing")</f>
        <v>1.7727008109295188</v>
      </c>
      <c r="K4" s="44">
        <f>IFERROR(AVERAGEIF('Avoided AC'!$C$15:$C$62,$H4,'Avoided AC'!$L$15:$L$62),"Data Missing")</f>
        <v>5.6072385919387671</v>
      </c>
      <c r="L4" s="44">
        <f>IFERROR(AVERAGEIF('Avoided AC'!$C$15:$C$62,$H4,'Avoided AC'!$M$15:$M$62),"Data Missing")</f>
        <v>14.92260036375998</v>
      </c>
      <c r="N4" s="50"/>
      <c r="O4" s="335"/>
      <c r="T4" s="236">
        <v>45689</v>
      </c>
      <c r="U4" s="237">
        <v>3.5350000000000001</v>
      </c>
      <c r="V4" s="237">
        <v>3.5700000000000003</v>
      </c>
      <c r="W4" s="237">
        <v>3.3000000000000003</v>
      </c>
      <c r="X4" s="237">
        <v>4.5</v>
      </c>
      <c r="Y4" s="237">
        <v>3.98</v>
      </c>
      <c r="Z4" s="237">
        <v>5.41</v>
      </c>
    </row>
    <row r="5" spans="1:32" ht="12.75" customHeight="1" x14ac:dyDescent="0.25">
      <c r="A5" s="3">
        <v>3</v>
      </c>
      <c r="B5" s="8">
        <f t="shared" si="0"/>
        <v>46082</v>
      </c>
      <c r="C5" s="19" t="str">
        <f t="shared" si="2"/>
        <v>Mar</v>
      </c>
      <c r="D5" s="100">
        <f t="shared" si="3"/>
        <v>2026</v>
      </c>
      <c r="E5" s="162">
        <f t="shared" si="1"/>
        <v>3.69</v>
      </c>
      <c r="F5" s="99">
        <f>IF(ISBLANK(E5),"Data Missing",Adjustments!E5-'NG Futures'!$F11)</f>
        <v>0.14800000000000013</v>
      </c>
      <c r="H5" s="3" t="s">
        <v>103</v>
      </c>
      <c r="I5" s="44">
        <f>IFERROR(AVERAGE(F5,F17,F29,F41), "Data Missing")</f>
        <v>-0.21299999999999997</v>
      </c>
      <c r="J5" s="10">
        <f>IFERROR(AVERAGEIF('NG Futures'!$D$21:$D$68,H5,'NG Futures'!$G$21:$G$68)/AVERAGE('NG Futures'!$G$21:$G$68),"Data Missing")</f>
        <v>0.96606150907690092</v>
      </c>
      <c r="K5" s="44">
        <f>IFERROR(AVERAGEIF('Avoided AC'!$C$15:$C$62,$H5,'Avoided AC'!$L$15:$L$62),"Data Missing")</f>
        <v>16.193093050994623</v>
      </c>
      <c r="L5" s="44">
        <f>IFERROR(AVERAGEIF('Avoided AC'!$C$15:$C$62,$H5,'Avoided AC'!$M$15:$M$62),"Data Missing")</f>
        <v>18.526854279558947</v>
      </c>
      <c r="N5" s="50"/>
      <c r="O5" s="335"/>
      <c r="T5" s="236">
        <v>45717</v>
      </c>
      <c r="U5" s="237">
        <v>3.9060000000000001</v>
      </c>
      <c r="V5" s="237">
        <v>3.35</v>
      </c>
      <c r="W5" s="237">
        <v>3.5100000000000002</v>
      </c>
      <c r="X5" s="237">
        <v>3.69</v>
      </c>
      <c r="Y5" s="237">
        <v>3.62</v>
      </c>
      <c r="Z5" s="237">
        <v>3.97</v>
      </c>
    </row>
    <row r="6" spans="1:32" ht="12.75" customHeight="1" x14ac:dyDescent="0.25">
      <c r="A6" s="3">
        <v>4</v>
      </c>
      <c r="B6" s="8">
        <f t="shared" si="0"/>
        <v>46113</v>
      </c>
      <c r="C6" s="19" t="str">
        <f t="shared" si="2"/>
        <v>Apr</v>
      </c>
      <c r="D6" s="100">
        <f t="shared" si="3"/>
        <v>2026</v>
      </c>
      <c r="E6" s="162">
        <f>INDEX(X6:Y6,1,MATCH($E$2,$X$2:$Y$2,0))</f>
        <v>3.22</v>
      </c>
      <c r="F6" s="99">
        <f>IF(ISBLANK(E6),"Data Missing",Adjustments!E6-'NG Futures'!$F12)</f>
        <v>-0.18799999999999972</v>
      </c>
      <c r="H6" s="3" t="s">
        <v>105</v>
      </c>
      <c r="I6" s="44">
        <f>IFERROR(AVERAGE(F6,F18,F30,F42), "Data Missing")</f>
        <v>-0.37999999999999989</v>
      </c>
      <c r="J6" s="10">
        <f>IFERROR(AVERAGEIF('NG Futures'!$D$21:$D$68,H6,'NG Futures'!$G$21:$G$68)/AVERAGE('NG Futures'!$G$21:$G$68),"Data Missing")</f>
        <v>0.79305534771485597</v>
      </c>
      <c r="K6" s="44">
        <f>IFERROR(AVERAGEIF('Avoided AC'!$C$15:$C$62,$H6,'Avoided AC'!$L$15:$L$62),"Data Missing")</f>
        <v>21.926151281282962</v>
      </c>
      <c r="L6" s="44">
        <f>IFERROR(AVERAGEIF('Avoided AC'!$C$15:$C$62,$H6,'Avoided AC'!$M$15:$M$62),"Data Missing")</f>
        <v>17.887578492279097</v>
      </c>
      <c r="N6" s="50"/>
      <c r="O6" s="335"/>
      <c r="T6" s="236">
        <v>45748</v>
      </c>
      <c r="U6" s="237">
        <v>3.95</v>
      </c>
      <c r="V6" s="237">
        <v>3.0900000000000003</v>
      </c>
      <c r="W6" s="237">
        <v>3.2300000000000004</v>
      </c>
      <c r="X6" s="237">
        <v>3.22</v>
      </c>
      <c r="Y6" s="237">
        <v>3.17</v>
      </c>
      <c r="Z6" s="237">
        <v>3.2300000000000004</v>
      </c>
    </row>
    <row r="7" spans="1:32" ht="12.75" customHeight="1" x14ac:dyDescent="0.25">
      <c r="A7" s="3">
        <v>5</v>
      </c>
      <c r="B7" s="8">
        <f t="shared" si="0"/>
        <v>46143</v>
      </c>
      <c r="C7" s="19" t="str">
        <f t="shared" si="2"/>
        <v>May</v>
      </c>
      <c r="D7" s="100">
        <f t="shared" si="3"/>
        <v>2026</v>
      </c>
      <c r="E7" s="162">
        <f t="shared" ref="E7:E50" si="4">INDEX(X7:Y7,1,MATCH($E$2,$X$2:$Y$2,0))</f>
        <v>2.4</v>
      </c>
      <c r="F7" s="99">
        <f>IF(ISBLANK(E7),"Data Missing",Adjustments!E7-'NG Futures'!$F13)</f>
        <v>-1.0369999999999999</v>
      </c>
      <c r="H7" s="3" t="s">
        <v>106</v>
      </c>
      <c r="I7" s="44">
        <f t="shared" ref="I7:I13" si="5">IFERROR(AVERAGE(F7,F19,F31,F43), "Data Missing")</f>
        <v>-0.67800000000000005</v>
      </c>
      <c r="J7" s="10">
        <f>IFERROR(AVERAGEIF('NG Futures'!$D$21:$D$68,H7,'NG Futures'!$G$21:$G$68)/AVERAGE('NG Futures'!$G$21:$G$68),"Data Missing")</f>
        <v>0.70271584253428354</v>
      </c>
      <c r="K7" s="44">
        <f>IFERROR(AVERAGEIF('Avoided AC'!$C$15:$C$62,$H7,'Avoided AC'!$L$15:$L$62),"Data Missing")</f>
        <v>26.437956029004866</v>
      </c>
      <c r="L7" s="44">
        <f>IFERROR(AVERAGEIF('Avoided AC'!$C$15:$C$62,$H7,'Avoided AC'!$M$15:$M$62),"Data Missing")</f>
        <v>16.439742582814084</v>
      </c>
      <c r="N7" s="50"/>
      <c r="O7" s="335"/>
      <c r="T7" s="236">
        <v>45778</v>
      </c>
      <c r="U7" s="237">
        <v>3.17</v>
      </c>
      <c r="V7" s="237">
        <v>2.4899999999999998</v>
      </c>
      <c r="W7" s="237">
        <v>2.54</v>
      </c>
      <c r="X7" s="237">
        <v>2.4</v>
      </c>
      <c r="Y7" s="237">
        <v>2.33</v>
      </c>
      <c r="Z7" s="237">
        <v>2.42</v>
      </c>
    </row>
    <row r="8" spans="1:32" ht="12.75" customHeight="1" x14ac:dyDescent="0.25">
      <c r="A8" s="3">
        <v>6</v>
      </c>
      <c r="B8" s="8">
        <f t="shared" si="0"/>
        <v>46174</v>
      </c>
      <c r="C8" s="19" t="str">
        <f t="shared" si="2"/>
        <v>Jun</v>
      </c>
      <c r="D8" s="100">
        <f t="shared" si="3"/>
        <v>2026</v>
      </c>
      <c r="E8" s="162">
        <f t="shared" si="4"/>
        <v>2.17</v>
      </c>
      <c r="F8" s="99">
        <f>IF(ISBLANK(E8),"Data Missing",Adjustments!E8-'NG Futures'!$F14)</f>
        <v>-1.4430000000000001</v>
      </c>
      <c r="H8" s="3" t="s">
        <v>108</v>
      </c>
      <c r="I8" s="44">
        <f t="shared" si="5"/>
        <v>-0.80174999999999996</v>
      </c>
      <c r="J8" s="10">
        <f>IFERROR(AVERAGEIF('NG Futures'!$D$21:$D$68,H8,'NG Futures'!$G$21:$G$68)/AVERAGE('NG Futures'!$G$21:$G$68),"Data Missing")</f>
        <v>0.70878896704727123</v>
      </c>
      <c r="K8" s="44">
        <f>IFERROR(AVERAGEIF('Avoided AC'!$C$15:$C$62,$H8,'Avoided AC'!$L$15:$L$62),"Data Missing")</f>
        <v>32.128916712052913</v>
      </c>
      <c r="L8" s="44">
        <f>IFERROR(AVERAGEIF('Avoided AC'!$C$15:$C$62,$H8,'Avoided AC'!$M$15:$M$62),"Data Missing")</f>
        <v>16.026893862649064</v>
      </c>
      <c r="N8" s="50"/>
      <c r="O8" s="335"/>
      <c r="T8" s="236">
        <v>45809</v>
      </c>
      <c r="U8" s="237">
        <v>3.2040000000000002</v>
      </c>
      <c r="V8" s="237">
        <v>2.6</v>
      </c>
      <c r="W8" s="237">
        <v>2.4500000000000002</v>
      </c>
      <c r="X8" s="237">
        <v>2.17</v>
      </c>
      <c r="Y8" s="237">
        <v>2.13</v>
      </c>
      <c r="Z8" s="237">
        <v>2.1900000000000004</v>
      </c>
    </row>
    <row r="9" spans="1:32" ht="12.75" customHeight="1" x14ac:dyDescent="0.25">
      <c r="A9" s="3">
        <v>7</v>
      </c>
      <c r="B9" s="8">
        <f t="shared" si="0"/>
        <v>46204</v>
      </c>
      <c r="C9" s="19" t="str">
        <f t="shared" si="2"/>
        <v>Jul</v>
      </c>
      <c r="D9" s="100">
        <f t="shared" si="3"/>
        <v>2026</v>
      </c>
      <c r="E9" s="162">
        <f t="shared" si="4"/>
        <v>2.17</v>
      </c>
      <c r="F9" s="99">
        <f>IF(ISBLANK(E9),"Data Missing",Adjustments!E9-'NG Futures'!$F15)</f>
        <v>-1.6430000000000002</v>
      </c>
      <c r="H9" s="3" t="s">
        <v>109</v>
      </c>
      <c r="I9" s="44">
        <f t="shared" si="5"/>
        <v>-0.85350000000000004</v>
      </c>
      <c r="J9" s="10">
        <f>IFERROR(AVERAGEIF('NG Futures'!$D$21:$D$68,H9,'NG Futures'!$G$21:$G$68)/AVERAGE('NG Futures'!$G$21:$G$68),"Data Missing")</f>
        <v>0.74112102604406493</v>
      </c>
      <c r="K9" s="44">
        <f>IFERROR(AVERAGEIF('Avoided AC'!$C$15:$C$62,$H9,'Avoided AC'!$L$15:$L$62),"Data Missing")</f>
        <v>59.544979569808355</v>
      </c>
      <c r="L9" s="44">
        <f>IFERROR(AVERAGEIF('Avoided AC'!$C$15:$C$62,$H9,'Avoided AC'!$M$15:$M$62),"Data Missing")</f>
        <v>23.164276038805944</v>
      </c>
      <c r="N9" s="50"/>
      <c r="O9" s="335"/>
      <c r="T9" s="236">
        <v>45839</v>
      </c>
      <c r="U9" s="237">
        <v>3.2610000000000001</v>
      </c>
      <c r="V9" s="237">
        <v>2.5100000000000002</v>
      </c>
      <c r="W9" s="237">
        <v>2.2000000000000002</v>
      </c>
      <c r="X9" s="237">
        <v>2.17</v>
      </c>
      <c r="Y9" s="237">
        <v>2.13</v>
      </c>
      <c r="Z9" s="237">
        <v>2.2400000000000002</v>
      </c>
    </row>
    <row r="10" spans="1:32" ht="12.75" customHeight="1" x14ac:dyDescent="0.25">
      <c r="A10" s="3">
        <v>8</v>
      </c>
      <c r="B10" s="8">
        <f t="shared" si="0"/>
        <v>46235</v>
      </c>
      <c r="C10" s="19" t="str">
        <f t="shared" si="2"/>
        <v>Aug</v>
      </c>
      <c r="D10" s="100">
        <f t="shared" si="3"/>
        <v>2026</v>
      </c>
      <c r="E10" s="162">
        <f t="shared" si="4"/>
        <v>2.5</v>
      </c>
      <c r="F10" s="99">
        <f>IF(ISBLANK(E10),"Data Missing",Adjustments!E10-'NG Futures'!$F16)</f>
        <v>-1.375</v>
      </c>
      <c r="H10" s="3" t="s">
        <v>110</v>
      </c>
      <c r="I10" s="44">
        <f t="shared" si="5"/>
        <v>-0.87824999999999998</v>
      </c>
      <c r="J10" s="10">
        <f>IFERROR(AVERAGEIF('NG Futures'!$D$21:$D$68,H10,'NG Futures'!$G$21:$G$68)/AVERAGE('NG Futures'!$G$21:$G$68),"Data Missing")</f>
        <v>0.75267436048605318</v>
      </c>
      <c r="K10" s="44">
        <f>IFERROR(AVERAGEIF('Avoided AC'!$C$15:$C$62,$H10,'Avoided AC'!$L$15:$L$62),"Data Missing")</f>
        <v>47.701516794954657</v>
      </c>
      <c r="L10" s="44">
        <f>IFERROR(AVERAGEIF('Avoided AC'!$C$15:$C$62,$H10,'Avoided AC'!$M$15:$M$62),"Data Missing")</f>
        <v>18.694167335763545</v>
      </c>
      <c r="N10" s="83"/>
      <c r="O10" s="335"/>
      <c r="T10" s="236">
        <v>45870</v>
      </c>
      <c r="U10" s="237">
        <v>3.081</v>
      </c>
      <c r="V10" s="237">
        <v>2.61</v>
      </c>
      <c r="W10" s="237">
        <v>2.5299999999999998</v>
      </c>
      <c r="X10" s="237">
        <v>2.5</v>
      </c>
      <c r="Y10" s="237">
        <v>2.48</v>
      </c>
      <c r="Z10" s="237">
        <v>2.54</v>
      </c>
    </row>
    <row r="11" spans="1:32" ht="12.75" customHeight="1" x14ac:dyDescent="0.25">
      <c r="A11" s="3">
        <v>9</v>
      </c>
      <c r="B11" s="8">
        <f t="shared" si="0"/>
        <v>46266</v>
      </c>
      <c r="C11" s="19" t="str">
        <f t="shared" si="2"/>
        <v>Sep</v>
      </c>
      <c r="D11" s="100">
        <f t="shared" si="3"/>
        <v>2026</v>
      </c>
      <c r="E11" s="162">
        <f t="shared" si="4"/>
        <v>1.9340000000000002</v>
      </c>
      <c r="F11" s="99">
        <f>IF(ISBLANK(E11),"Data Missing",Adjustments!E11-'NG Futures'!$F17)</f>
        <v>-1.903</v>
      </c>
      <c r="H11" s="3" t="s">
        <v>111</v>
      </c>
      <c r="I11" s="44">
        <f t="shared" si="5"/>
        <v>-1.2497499999999997</v>
      </c>
      <c r="J11" s="10">
        <f>IFERROR(AVERAGEIF('NG Futures'!$D$21:$D$68,H11,'NG Futures'!$G$21:$G$68)/AVERAGE('NG Futures'!$G$21:$G$68),"Data Missing")</f>
        <v>0.64349828162320966</v>
      </c>
      <c r="K11" s="44">
        <f>IFERROR(AVERAGEIF('Avoided AC'!$C$15:$C$62,$H11,'Avoided AC'!$L$15:$L$62),"Data Missing")</f>
        <v>33.16589552153701</v>
      </c>
      <c r="L11" s="44">
        <f>IFERROR(AVERAGEIF('Avoided AC'!$C$15:$C$62,$H11,'Avoided AC'!$M$15:$M$62),"Data Missing")</f>
        <v>17.281556452556131</v>
      </c>
      <c r="N11" s="83"/>
      <c r="O11" s="335"/>
      <c r="T11" s="244">
        <v>45901</v>
      </c>
      <c r="U11" s="245">
        <v>2.8260000000000001</v>
      </c>
      <c r="V11">
        <v>2.3610000000000002</v>
      </c>
      <c r="W11">
        <v>2.0760000000000001</v>
      </c>
      <c r="X11">
        <v>1.9340000000000002</v>
      </c>
      <c r="Y11">
        <v>1.8360000000000001</v>
      </c>
      <c r="Z11">
        <v>1.9260000000000002</v>
      </c>
      <c r="AB11" s="247"/>
      <c r="AC11" s="248"/>
      <c r="AE11" s="247"/>
      <c r="AF11" s="248"/>
    </row>
    <row r="12" spans="1:32" ht="12.75" customHeight="1" x14ac:dyDescent="0.25">
      <c r="A12" s="3">
        <v>10</v>
      </c>
      <c r="B12" s="8">
        <f t="shared" si="0"/>
        <v>46296</v>
      </c>
      <c r="C12" s="19" t="str">
        <f t="shared" si="2"/>
        <v>Oct</v>
      </c>
      <c r="D12" s="100">
        <f t="shared" si="3"/>
        <v>2026</v>
      </c>
      <c r="E12" s="162">
        <f t="shared" si="4"/>
        <v>1.8590000000000002</v>
      </c>
      <c r="F12" s="99">
        <f>IF(ISBLANK(E12),"Data Missing",Adjustments!E12-'NG Futures'!$F18)</f>
        <v>-2.024</v>
      </c>
      <c r="H12" s="3" t="s">
        <v>112</v>
      </c>
      <c r="I12" s="44">
        <f t="shared" si="5"/>
        <v>-1.274</v>
      </c>
      <c r="J12" s="10">
        <f>IFERROR(AVERAGEIF('NG Futures'!$D$21:$D$68,H12,'NG Futures'!$G$21:$G$68)/AVERAGE('NG Futures'!$G$21:$G$68),"Data Missing")</f>
        <v>0.65560740843708065</v>
      </c>
      <c r="K12" s="44">
        <f>IFERROR(AVERAGEIF('Avoided AC'!$C$15:$C$62,$H12,'Avoided AC'!$L$15:$L$62),"Data Missing")</f>
        <v>28.803355419334903</v>
      </c>
      <c r="L12" s="44">
        <f>IFERROR(AVERAGEIF('Avoided AC'!$C$15:$C$62,$H12,'Avoided AC'!$M$15:$M$62),"Data Missing")</f>
        <v>19.741064583897117</v>
      </c>
      <c r="N12" s="83"/>
      <c r="O12" s="335"/>
      <c r="T12" s="244">
        <v>45931</v>
      </c>
      <c r="U12" s="245">
        <v>2.9140000000000001</v>
      </c>
      <c r="V12">
        <v>2.3690000000000002</v>
      </c>
      <c r="W12">
        <v>1.9460000000000002</v>
      </c>
      <c r="X12">
        <v>1.8590000000000002</v>
      </c>
      <c r="Y12">
        <v>1.7640000000000002</v>
      </c>
      <c r="Z12">
        <v>1.9090000000000003</v>
      </c>
      <c r="AB12" s="247"/>
      <c r="AC12" s="248"/>
      <c r="AE12" s="247"/>
      <c r="AF12" s="248"/>
    </row>
    <row r="13" spans="1:32" ht="12.75" customHeight="1" x14ac:dyDescent="0.25">
      <c r="A13" s="3">
        <v>11</v>
      </c>
      <c r="B13" s="8">
        <f t="shared" si="0"/>
        <v>46327</v>
      </c>
      <c r="C13" s="19" t="str">
        <f t="shared" si="2"/>
        <v>Nov</v>
      </c>
      <c r="D13" s="100">
        <f t="shared" si="3"/>
        <v>2026</v>
      </c>
      <c r="E13" s="162">
        <f t="shared" si="4"/>
        <v>2.6149999999999998</v>
      </c>
      <c r="F13" s="99">
        <f>IF(ISBLANK(E13),"Data Missing",Adjustments!E13-'NG Futures'!$F19)</f>
        <v>-1.4820000000000007</v>
      </c>
      <c r="H13" s="3" t="s">
        <v>113</v>
      </c>
      <c r="I13" s="44">
        <f t="shared" si="5"/>
        <v>-0.76375000000000015</v>
      </c>
      <c r="J13" s="10">
        <f>IFERROR(AVERAGEIF('NG Futures'!$D$21:$D$68,H13,'NG Futures'!$G$21:$G$68)/AVERAGE('NG Futures'!$G$21:$G$68),"Data Missing")</f>
        <v>0.85545709238943757</v>
      </c>
      <c r="K13" s="44">
        <f>IFERROR(AVERAGEIF('Avoided AC'!$C$15:$C$62,$H13,'Avoided AC'!$L$15:$L$62),"Data Missing")</f>
        <v>22.029478924721822</v>
      </c>
      <c r="L13" s="44">
        <f>IFERROR(AVERAGEIF('Avoided AC'!$C$15:$C$62,$H13,'Avoided AC'!$M$15:$M$62),"Data Missing")</f>
        <v>19.684626695939865</v>
      </c>
      <c r="N13" s="83"/>
      <c r="O13" s="335"/>
      <c r="T13" s="244">
        <v>45962</v>
      </c>
      <c r="U13" s="245">
        <v>3.2469999999999999</v>
      </c>
      <c r="V13">
        <v>2.8049999999999997</v>
      </c>
      <c r="W13">
        <v>2.5419999999999998</v>
      </c>
      <c r="X13">
        <v>2.6149999999999998</v>
      </c>
      <c r="Y13">
        <v>2.5190000000000001</v>
      </c>
      <c r="Z13">
        <v>2.6890000000000001</v>
      </c>
      <c r="AB13" s="247"/>
      <c r="AC13" s="247"/>
    </row>
    <row r="14" spans="1:32" ht="12.75" customHeight="1" x14ac:dyDescent="0.25">
      <c r="A14" s="3">
        <v>12</v>
      </c>
      <c r="B14" s="8">
        <f t="shared" si="0"/>
        <v>46357</v>
      </c>
      <c r="C14" s="19" t="str">
        <f t="shared" si="2"/>
        <v>Dec</v>
      </c>
      <c r="D14" s="100">
        <f t="shared" si="3"/>
        <v>2026</v>
      </c>
      <c r="E14" s="162">
        <f t="shared" si="4"/>
        <v>4.5440000000000005</v>
      </c>
      <c r="F14" s="99">
        <f>IF(ISBLANK(E14),"Data Missing",Adjustments!E14-'NG Futures'!$F20)</f>
        <v>4.7000000000000597E-2</v>
      </c>
      <c r="H14" s="3" t="s">
        <v>114</v>
      </c>
      <c r="I14" s="44">
        <f>IFERROR(AVERAGE(F14,F26,F38,F50), "Data Missing")</f>
        <v>0.73825000000000029</v>
      </c>
      <c r="J14" s="10">
        <f>IFERROR(AVERAGEIF('NG Futures'!$D$21:$D$68,H14,'NG Futures'!$G$21:$G$68)/AVERAGE('NG Futures'!$G$21:$G$68),"Data Missing")</f>
        <v>1.3958482564240506</v>
      </c>
      <c r="K14" s="44">
        <f>IFERROR(AVERAGEIF('Avoided AC'!$C$15:$C$62,$H14,'Avoided AC'!$L$15:$L$62),"Data Missing")</f>
        <v>11.198367626580465</v>
      </c>
      <c r="L14" s="44">
        <f>IFERROR(AVERAGEIF('Avoided AC'!$C$15:$C$62,$H14,'Avoided AC'!$M$15:$M$62),"Data Missing")</f>
        <v>16.058787201303804</v>
      </c>
      <c r="N14" s="83"/>
      <c r="O14" s="336"/>
      <c r="T14" s="244">
        <v>45992</v>
      </c>
      <c r="U14" s="245">
        <v>3.8220000000000001</v>
      </c>
      <c r="V14">
        <v>3.7320000000000002</v>
      </c>
      <c r="W14">
        <v>3.37</v>
      </c>
      <c r="X14">
        <v>4.5440000000000005</v>
      </c>
      <c r="Y14">
        <v>4.234</v>
      </c>
      <c r="Z14">
        <v>5.9820000000000002</v>
      </c>
      <c r="AB14" s="247"/>
      <c r="AC14" s="247"/>
    </row>
    <row r="15" spans="1:32" ht="12.75" customHeight="1" x14ac:dyDescent="0.25">
      <c r="A15" s="3">
        <v>13</v>
      </c>
      <c r="B15" s="8">
        <f t="shared" si="0"/>
        <v>46388</v>
      </c>
      <c r="C15" s="19" t="str">
        <f t="shared" si="2"/>
        <v>Jan</v>
      </c>
      <c r="D15" s="100">
        <f t="shared" si="3"/>
        <v>2027</v>
      </c>
      <c r="E15" s="162">
        <f t="shared" si="4"/>
        <v>7.2959999999999994</v>
      </c>
      <c r="F15" s="99">
        <f>IF(ISBLANK(E15),"Data Missing",Adjustments!E15-'NG Futures'!$F21)</f>
        <v>2.5469999999999997</v>
      </c>
      <c r="H15" s="83"/>
      <c r="I15" s="146"/>
      <c r="J15" s="83"/>
      <c r="K15" s="83"/>
      <c r="L15" s="83"/>
      <c r="N15" s="83"/>
      <c r="O15" s="83"/>
      <c r="T15" s="244">
        <v>46023</v>
      </c>
      <c r="U15" s="245">
        <v>4.1539999999999999</v>
      </c>
      <c r="V15">
        <v>4.4290000000000003</v>
      </c>
      <c r="W15">
        <v>3.782</v>
      </c>
      <c r="X15">
        <v>7.2959999999999994</v>
      </c>
      <c r="Y15">
        <v>6.7560000000000002</v>
      </c>
      <c r="Z15">
        <v>9.5790000000000006</v>
      </c>
      <c r="AB15" s="247"/>
      <c r="AC15" s="247"/>
    </row>
    <row r="16" spans="1:32" ht="12.75" customHeight="1" x14ac:dyDescent="0.25">
      <c r="A16" s="3">
        <v>14</v>
      </c>
      <c r="B16" s="8">
        <f t="shared" si="0"/>
        <v>46419</v>
      </c>
      <c r="C16" s="19" t="str">
        <f t="shared" si="2"/>
        <v>Feb</v>
      </c>
      <c r="D16" s="100">
        <f t="shared" si="3"/>
        <v>2027</v>
      </c>
      <c r="E16" s="162">
        <f t="shared" si="4"/>
        <v>6.3390000000000004</v>
      </c>
      <c r="F16" s="99">
        <f>IF(ISBLANK(E16),"Data Missing",Adjustments!E16-'NG Futures'!$F22)</f>
        <v>1.9600000000000009</v>
      </c>
      <c r="H16" s="83"/>
      <c r="I16" s="146"/>
      <c r="J16" s="83"/>
      <c r="K16" s="83"/>
      <c r="L16" s="83"/>
      <c r="N16" s="83"/>
      <c r="O16" s="83"/>
      <c r="T16" s="244">
        <v>46054</v>
      </c>
      <c r="U16" s="245">
        <v>3.9239999999999999</v>
      </c>
      <c r="V16">
        <v>4.1989999999999998</v>
      </c>
      <c r="W16">
        <v>3.5939999999999999</v>
      </c>
      <c r="X16">
        <v>6.3390000000000004</v>
      </c>
      <c r="Y16">
        <v>5.6989999999999998</v>
      </c>
      <c r="Z16">
        <v>8.5990000000000002</v>
      </c>
      <c r="AB16" s="247"/>
      <c r="AC16" s="247"/>
    </row>
    <row r="17" spans="1:32" ht="12.75" customHeight="1" x14ac:dyDescent="0.25">
      <c r="A17" s="3">
        <v>15</v>
      </c>
      <c r="B17" s="8">
        <f t="shared" si="0"/>
        <v>46447</v>
      </c>
      <c r="C17" s="19" t="str">
        <f t="shared" si="2"/>
        <v>Mar</v>
      </c>
      <c r="D17" s="100">
        <f t="shared" si="3"/>
        <v>2027</v>
      </c>
      <c r="E17" s="162">
        <f t="shared" si="4"/>
        <v>3.1469999999999998</v>
      </c>
      <c r="F17" s="99">
        <f>IF(ISBLANK(E17),"Data Missing",Adjustments!E17-'NG Futures'!$F23)</f>
        <v>-0.65600000000000014</v>
      </c>
      <c r="H17" s="83"/>
      <c r="I17" s="83"/>
      <c r="J17" s="83"/>
      <c r="K17" s="83"/>
      <c r="L17" s="83"/>
      <c r="N17" s="83"/>
      <c r="O17" s="83"/>
      <c r="T17" s="244">
        <v>46082</v>
      </c>
      <c r="U17" s="245">
        <v>3.5419999999999998</v>
      </c>
      <c r="V17">
        <v>3.1419999999999999</v>
      </c>
      <c r="W17">
        <v>3.1239999999999997</v>
      </c>
      <c r="X17">
        <v>3.1469999999999998</v>
      </c>
      <c r="Y17">
        <v>3.11</v>
      </c>
      <c r="Z17">
        <v>3.464</v>
      </c>
      <c r="AB17" s="247"/>
      <c r="AC17" s="247"/>
    </row>
    <row r="18" spans="1:32" ht="12.75" customHeight="1" x14ac:dyDescent="0.25">
      <c r="A18" s="3">
        <v>16</v>
      </c>
      <c r="B18" s="8">
        <f t="shared" si="0"/>
        <v>46478</v>
      </c>
      <c r="C18" s="19" t="str">
        <f t="shared" si="2"/>
        <v>Apr</v>
      </c>
      <c r="D18" s="100">
        <f t="shared" si="3"/>
        <v>2027</v>
      </c>
      <c r="E18" s="162">
        <f t="shared" si="4"/>
        <v>2.8479999999999999</v>
      </c>
      <c r="F18" s="99">
        <f>IF(ISBLANK(E18),"Data Missing",Adjustments!E18-'NG Futures'!$F24)</f>
        <v>-0.57000000000000028</v>
      </c>
      <c r="H18" s="83"/>
      <c r="I18" s="83"/>
      <c r="J18" s="83"/>
      <c r="K18" s="83"/>
      <c r="L18" s="83"/>
      <c r="N18" s="83"/>
      <c r="O18" s="83"/>
      <c r="T18" s="244">
        <v>46113</v>
      </c>
      <c r="U18" s="245">
        <v>3.4079999999999999</v>
      </c>
      <c r="V18">
        <v>2.863</v>
      </c>
      <c r="W18">
        <v>2.9129999999999998</v>
      </c>
      <c r="X18">
        <v>2.8479999999999999</v>
      </c>
      <c r="Y18">
        <v>2.7429999999999999</v>
      </c>
      <c r="Z18">
        <v>2.786</v>
      </c>
      <c r="AB18" s="247"/>
      <c r="AC18" s="247"/>
    </row>
    <row r="19" spans="1:32" ht="12.75" customHeight="1" x14ac:dyDescent="0.25">
      <c r="A19" s="3">
        <v>17</v>
      </c>
      <c r="B19" s="8">
        <f t="shared" si="0"/>
        <v>46508</v>
      </c>
      <c r="C19" s="19" t="str">
        <f t="shared" si="2"/>
        <v>May</v>
      </c>
      <c r="D19" s="100">
        <f t="shared" si="3"/>
        <v>2027</v>
      </c>
      <c r="E19" s="162">
        <f t="shared" si="4"/>
        <v>2.7089999999999996</v>
      </c>
      <c r="F19" s="99">
        <f>IF(ISBLANK(E19),"Data Missing",Adjustments!E19-'NG Futures'!$F25)</f>
        <v>-0.6850000000000005</v>
      </c>
      <c r="H19" s="83"/>
      <c r="I19" s="83"/>
      <c r="J19" s="83"/>
      <c r="K19" s="83"/>
      <c r="L19" s="83"/>
      <c r="N19" s="83"/>
      <c r="O19" s="83"/>
      <c r="T19" s="244">
        <v>46143</v>
      </c>
      <c r="U19" s="245">
        <v>3.4369999999999998</v>
      </c>
      <c r="V19">
        <v>2.8249999999999997</v>
      </c>
      <c r="W19">
        <v>2.8089999999999997</v>
      </c>
      <c r="X19">
        <v>2.7089999999999996</v>
      </c>
      <c r="Y19">
        <v>2.5619999999999998</v>
      </c>
      <c r="Z19">
        <v>2.6069999999999998</v>
      </c>
      <c r="AB19" s="247"/>
      <c r="AC19" s="248"/>
      <c r="AE19" s="247"/>
      <c r="AF19" s="248"/>
    </row>
    <row r="20" spans="1:32" ht="12.75" customHeight="1" x14ac:dyDescent="0.25">
      <c r="A20" s="3">
        <v>18</v>
      </c>
      <c r="B20" s="8">
        <f t="shared" si="0"/>
        <v>46539</v>
      </c>
      <c r="C20" s="19" t="str">
        <f t="shared" si="2"/>
        <v>Jun</v>
      </c>
      <c r="D20" s="100">
        <f t="shared" si="3"/>
        <v>2027</v>
      </c>
      <c r="E20" s="162">
        <f t="shared" si="4"/>
        <v>2.8049999999999997</v>
      </c>
      <c r="F20" s="99">
        <f>IF(ISBLANK(E20),"Data Missing",Adjustments!E20-'NG Futures'!$F26)</f>
        <v>-0.7370000000000001</v>
      </c>
      <c r="H20" s="83"/>
      <c r="I20" s="83"/>
      <c r="J20" s="83"/>
      <c r="K20" s="83"/>
      <c r="L20" s="83"/>
      <c r="N20" s="83"/>
      <c r="O20" s="83"/>
      <c r="T20" s="244">
        <v>46174</v>
      </c>
      <c r="U20" s="245">
        <v>3.613</v>
      </c>
      <c r="V20">
        <v>2.9050000000000002</v>
      </c>
      <c r="W20">
        <v>2.8730000000000002</v>
      </c>
      <c r="X20">
        <v>2.8049999999999997</v>
      </c>
      <c r="Y20">
        <v>2.8049999999999997</v>
      </c>
      <c r="Z20">
        <v>2.8129999999999997</v>
      </c>
      <c r="AB20" s="247"/>
      <c r="AC20" s="247"/>
    </row>
    <row r="21" spans="1:32" ht="12.75" customHeight="1" x14ac:dyDescent="0.25">
      <c r="A21" s="3">
        <v>19</v>
      </c>
      <c r="B21" s="8">
        <f t="shared" si="0"/>
        <v>46569</v>
      </c>
      <c r="C21" s="19" t="str">
        <f t="shared" si="2"/>
        <v>Jul</v>
      </c>
      <c r="D21" s="100">
        <f t="shared" si="3"/>
        <v>2027</v>
      </c>
      <c r="E21" s="162">
        <f t="shared" si="4"/>
        <v>3.1180000000000003</v>
      </c>
      <c r="F21" s="99">
        <f>IF(ISBLANK(E21),"Data Missing",Adjustments!E21-'NG Futures'!$F27)</f>
        <v>-0.60199999999999987</v>
      </c>
      <c r="H21" s="83"/>
      <c r="I21" s="83"/>
      <c r="J21" s="83"/>
      <c r="K21" s="83"/>
      <c r="L21" s="83"/>
      <c r="N21" s="83"/>
      <c r="O21" s="83"/>
      <c r="T21" s="244">
        <v>46204</v>
      </c>
      <c r="U21" s="245">
        <v>3.8130000000000002</v>
      </c>
      <c r="V21">
        <v>3.2410000000000001</v>
      </c>
      <c r="W21">
        <v>3.1030000000000002</v>
      </c>
      <c r="X21">
        <v>3.1180000000000003</v>
      </c>
      <c r="Y21">
        <v>3.1180000000000003</v>
      </c>
      <c r="Z21">
        <v>3.153</v>
      </c>
      <c r="AB21" s="247"/>
      <c r="AC21" s="247"/>
    </row>
    <row r="22" spans="1:32" ht="12.75" customHeight="1" x14ac:dyDescent="0.25">
      <c r="A22" s="3">
        <v>20</v>
      </c>
      <c r="B22" s="8">
        <f t="shared" si="0"/>
        <v>46600</v>
      </c>
      <c r="C22" s="19" t="str">
        <f t="shared" si="2"/>
        <v>Aug</v>
      </c>
      <c r="D22" s="100">
        <f t="shared" si="3"/>
        <v>2027</v>
      </c>
      <c r="E22" s="162">
        <f t="shared" si="4"/>
        <v>3.07</v>
      </c>
      <c r="F22" s="99">
        <f>IF(ISBLANK(E22),"Data Missing",Adjustments!E22-'NG Futures'!$F28)</f>
        <v>-0.71</v>
      </c>
      <c r="H22" s="83"/>
      <c r="I22" s="83"/>
      <c r="J22" s="83"/>
      <c r="K22" s="83"/>
      <c r="L22" s="83"/>
      <c r="N22" s="83"/>
      <c r="O22" s="83"/>
      <c r="T22" s="244">
        <v>46235</v>
      </c>
      <c r="U22" s="245">
        <v>3.875</v>
      </c>
      <c r="V22">
        <v>3.33</v>
      </c>
      <c r="W22">
        <v>3.0150000000000001</v>
      </c>
      <c r="X22">
        <v>3.07</v>
      </c>
      <c r="Y22">
        <v>3.08</v>
      </c>
      <c r="Z22">
        <v>3.1349999999999998</v>
      </c>
      <c r="AB22" s="247"/>
      <c r="AC22" s="247"/>
    </row>
    <row r="23" spans="1:32" ht="12.75" customHeight="1" x14ac:dyDescent="0.25">
      <c r="A23" s="3">
        <v>21</v>
      </c>
      <c r="B23" s="8">
        <f t="shared" si="0"/>
        <v>46631</v>
      </c>
      <c r="C23" s="19" t="str">
        <f t="shared" si="2"/>
        <v>Sep</v>
      </c>
      <c r="D23" s="100">
        <f t="shared" si="3"/>
        <v>2027</v>
      </c>
      <c r="E23" s="162">
        <f t="shared" si="4"/>
        <v>2.617</v>
      </c>
      <c r="F23" s="99">
        <f>IF(ISBLANK(E23),"Data Missing",Adjustments!E23-'NG Futures'!$F29)</f>
        <v>-1.129</v>
      </c>
      <c r="H23" s="83"/>
      <c r="I23" s="83"/>
      <c r="J23" s="83"/>
      <c r="K23" s="83"/>
      <c r="L23" s="83"/>
      <c r="N23" s="83"/>
      <c r="O23" s="83"/>
      <c r="T23" s="244">
        <v>46266</v>
      </c>
      <c r="U23" s="245">
        <v>3.8370000000000002</v>
      </c>
      <c r="V23">
        <v>3.1970000000000001</v>
      </c>
      <c r="W23">
        <v>2.7990000000000004</v>
      </c>
      <c r="X23">
        <v>2.617</v>
      </c>
      <c r="Y23">
        <v>2.6050000000000004</v>
      </c>
      <c r="Z23">
        <v>2.5820000000000003</v>
      </c>
      <c r="AB23" s="247"/>
      <c r="AC23" s="247"/>
    </row>
    <row r="24" spans="1:32" ht="12.75" customHeight="1" x14ac:dyDescent="0.25">
      <c r="A24" s="3">
        <v>22</v>
      </c>
      <c r="B24" s="8">
        <f t="shared" si="0"/>
        <v>46661</v>
      </c>
      <c r="C24" s="19" t="str">
        <f t="shared" si="2"/>
        <v>Oct</v>
      </c>
      <c r="D24" s="100">
        <f t="shared" si="3"/>
        <v>2027</v>
      </c>
      <c r="E24" s="162">
        <f t="shared" si="4"/>
        <v>2.573</v>
      </c>
      <c r="F24" s="99">
        <f>IF(ISBLANK(E24),"Data Missing",Adjustments!E24-'NG Futures'!$F30)</f>
        <v>-1.23</v>
      </c>
      <c r="H24" s="83"/>
      <c r="I24" s="83"/>
      <c r="J24" s="83"/>
      <c r="K24" s="83"/>
      <c r="L24" s="83"/>
      <c r="N24" s="83"/>
      <c r="O24" s="83"/>
      <c r="T24" s="244">
        <v>46296</v>
      </c>
      <c r="U24" s="245">
        <v>3.883</v>
      </c>
      <c r="V24">
        <v>3.1829999999999998</v>
      </c>
      <c r="W24">
        <v>2.6879999999999997</v>
      </c>
      <c r="X24">
        <v>2.573</v>
      </c>
      <c r="Y24">
        <v>2.5780000000000003</v>
      </c>
      <c r="Z24">
        <v>2.5449999999999999</v>
      </c>
      <c r="AB24" s="247"/>
      <c r="AC24" s="247"/>
    </row>
    <row r="25" spans="1:32" ht="12.75" customHeight="1" x14ac:dyDescent="0.25">
      <c r="A25" s="3">
        <v>23</v>
      </c>
      <c r="B25" s="8">
        <f t="shared" si="0"/>
        <v>46692</v>
      </c>
      <c r="C25" s="19" t="str">
        <f t="shared" si="2"/>
        <v>Nov</v>
      </c>
      <c r="D25" s="100">
        <f t="shared" si="3"/>
        <v>2027</v>
      </c>
      <c r="E25" s="162">
        <f t="shared" si="4"/>
        <v>3.2020000000000004</v>
      </c>
      <c r="F25" s="99">
        <f>IF(ISBLANK(E25),"Data Missing",Adjustments!E25-'NG Futures'!$F31)</f>
        <v>-0.80899999999999972</v>
      </c>
      <c r="H25" s="83"/>
      <c r="I25" s="83"/>
      <c r="J25" s="83"/>
      <c r="K25" s="83"/>
      <c r="L25" s="83"/>
      <c r="N25" s="83"/>
      <c r="O25" s="83"/>
      <c r="T25" s="244">
        <v>46327</v>
      </c>
      <c r="U25" s="245">
        <v>4.0970000000000004</v>
      </c>
      <c r="V25">
        <v>3.5520000000000005</v>
      </c>
      <c r="W25">
        <v>3.0770000000000004</v>
      </c>
      <c r="X25">
        <v>3.2020000000000004</v>
      </c>
      <c r="Y25">
        <v>3.2250000000000005</v>
      </c>
      <c r="Z25">
        <v>4.0790000000000006</v>
      </c>
      <c r="AB25" s="247"/>
      <c r="AC25" s="247"/>
    </row>
    <row r="26" spans="1:32" ht="12.75" customHeight="1" x14ac:dyDescent="0.25">
      <c r="A26" s="3">
        <v>24</v>
      </c>
      <c r="B26" s="8">
        <f t="shared" si="0"/>
        <v>46722</v>
      </c>
      <c r="C26" s="19" t="str">
        <f t="shared" si="2"/>
        <v>Dec</v>
      </c>
      <c r="D26" s="100">
        <f t="shared" si="3"/>
        <v>2027</v>
      </c>
      <c r="E26" s="162">
        <f t="shared" si="4"/>
        <v>5.2450000000000001</v>
      </c>
      <c r="F26" s="99">
        <f>IF(ISBLANK(E26),"Data Missing",Adjustments!E26-'NG Futures'!$F32)</f>
        <v>0.80900000000000016</v>
      </c>
      <c r="H26" s="83"/>
      <c r="I26" s="83"/>
      <c r="J26" s="83"/>
      <c r="K26" s="83"/>
      <c r="L26" s="83"/>
      <c r="N26" s="83"/>
      <c r="O26" s="83"/>
      <c r="T26" s="244">
        <v>46357</v>
      </c>
      <c r="U26" s="245">
        <v>4.4969999999999999</v>
      </c>
      <c r="V26">
        <v>4.3689999999999998</v>
      </c>
      <c r="W26">
        <v>3.8369999999999997</v>
      </c>
      <c r="X26">
        <v>5.2450000000000001</v>
      </c>
      <c r="Y26">
        <v>5.0949999999999998</v>
      </c>
      <c r="Z26">
        <v>6.4119999999999999</v>
      </c>
      <c r="AB26" s="247"/>
      <c r="AC26" s="247"/>
    </row>
    <row r="27" spans="1:32" ht="12.75" customHeight="1" x14ac:dyDescent="0.25">
      <c r="A27" s="3">
        <v>25</v>
      </c>
      <c r="B27" s="8">
        <f t="shared" si="0"/>
        <v>46753</v>
      </c>
      <c r="C27" s="19" t="str">
        <f t="shared" si="2"/>
        <v>Jan</v>
      </c>
      <c r="D27" s="100">
        <f t="shared" si="3"/>
        <v>2028</v>
      </c>
      <c r="E27" s="162">
        <f t="shared" si="4"/>
        <v>7.5689999999999991</v>
      </c>
      <c r="F27" s="99">
        <f>IF(ISBLANK(E27),"Data Missing",Adjustments!E27-'NG Futures'!$F33)</f>
        <v>2.8349999999999991</v>
      </c>
      <c r="H27" s="83"/>
      <c r="I27" s="83"/>
      <c r="J27" s="83"/>
      <c r="K27" s="83"/>
      <c r="L27" s="83"/>
      <c r="N27" s="83"/>
      <c r="O27" s="83"/>
      <c r="T27" s="244">
        <v>46388</v>
      </c>
      <c r="U27" s="245">
        <v>4.7489999999999997</v>
      </c>
      <c r="V27">
        <v>5.0109999999999992</v>
      </c>
      <c r="W27">
        <v>4.3309999999999995</v>
      </c>
      <c r="X27">
        <v>7.5689999999999991</v>
      </c>
      <c r="Y27">
        <v>7.2370000000000001</v>
      </c>
      <c r="Z27">
        <v>9.2370000000000001</v>
      </c>
      <c r="AB27" s="247"/>
      <c r="AC27" s="247"/>
    </row>
    <row r="28" spans="1:32" ht="12.75" customHeight="1" x14ac:dyDescent="0.25">
      <c r="A28" s="3">
        <v>26</v>
      </c>
      <c r="B28" s="8">
        <f t="shared" si="0"/>
        <v>46784</v>
      </c>
      <c r="C28" s="19" t="str">
        <f t="shared" si="2"/>
        <v>Feb</v>
      </c>
      <c r="D28" s="100">
        <f t="shared" si="3"/>
        <v>2028</v>
      </c>
      <c r="E28" s="162">
        <f t="shared" si="4"/>
        <v>7.0689999999999991</v>
      </c>
      <c r="F28" s="99">
        <f>IF(ISBLANK(E28),"Data Missing",Adjustments!E28-'NG Futures'!$F34)</f>
        <v>2.6759999999999993</v>
      </c>
      <c r="H28" s="83"/>
      <c r="I28" s="83"/>
      <c r="J28" s="83"/>
      <c r="K28" s="83"/>
      <c r="L28" s="83"/>
      <c r="N28" s="83"/>
      <c r="O28" s="83"/>
      <c r="T28" s="244">
        <v>46419</v>
      </c>
      <c r="U28" s="245">
        <v>4.3789999999999996</v>
      </c>
      <c r="V28">
        <v>4.6739999999999995</v>
      </c>
      <c r="W28">
        <v>3.9639999999999995</v>
      </c>
      <c r="X28">
        <v>7.0689999999999991</v>
      </c>
      <c r="Y28">
        <v>6.2309999999999999</v>
      </c>
      <c r="Z28">
        <v>8.3889999999999993</v>
      </c>
      <c r="AB28" s="247"/>
      <c r="AC28" s="247"/>
    </row>
    <row r="29" spans="1:32" ht="12.75" customHeight="1" x14ac:dyDescent="0.25">
      <c r="A29" s="3">
        <v>27</v>
      </c>
      <c r="B29" s="8">
        <f t="shared" si="0"/>
        <v>46813</v>
      </c>
      <c r="C29" s="19" t="str">
        <f t="shared" si="2"/>
        <v>Mar</v>
      </c>
      <c r="D29" s="100">
        <f t="shared" si="3"/>
        <v>2028</v>
      </c>
      <c r="E29" s="162">
        <f t="shared" si="4"/>
        <v>3.4129999999999998</v>
      </c>
      <c r="F29" s="99">
        <f>IF(ISBLANK(E29),"Data Missing",Adjustments!E29-'NG Futures'!$F35)</f>
        <v>-0.35499999999999998</v>
      </c>
      <c r="H29" s="83"/>
      <c r="I29" s="83"/>
      <c r="J29" s="83"/>
      <c r="K29" s="83"/>
      <c r="L29" s="83"/>
      <c r="N29" s="83"/>
      <c r="O29" s="83"/>
      <c r="T29" s="244">
        <v>46447</v>
      </c>
      <c r="U29" s="245">
        <v>3.8029999999999999</v>
      </c>
      <c r="V29">
        <v>3.323</v>
      </c>
      <c r="W29">
        <v>3.3449999999999998</v>
      </c>
      <c r="X29">
        <v>3.4129999999999998</v>
      </c>
      <c r="Y29">
        <v>3.2749999999999999</v>
      </c>
      <c r="Z29">
        <v>4.2930000000000001</v>
      </c>
      <c r="AB29" s="247"/>
      <c r="AC29" s="247"/>
    </row>
    <row r="30" spans="1:32" ht="12.75" customHeight="1" x14ac:dyDescent="0.25">
      <c r="A30" s="3">
        <v>28</v>
      </c>
      <c r="B30" s="8">
        <f t="shared" si="0"/>
        <v>46844</v>
      </c>
      <c r="C30" s="19" t="str">
        <f t="shared" si="2"/>
        <v>Apr</v>
      </c>
      <c r="D30" s="100">
        <f t="shared" si="3"/>
        <v>2028</v>
      </c>
      <c r="E30" s="162">
        <f t="shared" si="4"/>
        <v>2.8730000000000002</v>
      </c>
      <c r="F30" s="99">
        <f>IF(ISBLANK(E30),"Data Missing",Adjustments!E30-'NG Futures'!$F36)</f>
        <v>-0.42499999999999982</v>
      </c>
      <c r="H30" s="83"/>
      <c r="I30" s="83"/>
      <c r="J30" s="83"/>
      <c r="K30" s="83"/>
      <c r="L30" s="83"/>
      <c r="N30" s="83"/>
      <c r="O30" s="83"/>
      <c r="T30" s="244">
        <v>46478</v>
      </c>
      <c r="U30" s="245">
        <v>3.4180000000000001</v>
      </c>
      <c r="V30">
        <v>2.89</v>
      </c>
      <c r="W30">
        <v>2.9830000000000001</v>
      </c>
      <c r="X30">
        <v>2.8730000000000002</v>
      </c>
      <c r="Y30">
        <v>2.9530000000000003</v>
      </c>
      <c r="Z30">
        <v>2.9430000000000001</v>
      </c>
      <c r="AB30" s="247"/>
      <c r="AC30" s="247"/>
    </row>
    <row r="31" spans="1:32" ht="12.75" customHeight="1" x14ac:dyDescent="0.25">
      <c r="A31" s="3">
        <v>29</v>
      </c>
      <c r="B31" s="8">
        <f t="shared" si="0"/>
        <v>46874</v>
      </c>
      <c r="C31" s="19" t="str">
        <f t="shared" si="2"/>
        <v>May</v>
      </c>
      <c r="D31" s="100">
        <f t="shared" si="3"/>
        <v>2028</v>
      </c>
      <c r="E31" s="162">
        <f t="shared" si="4"/>
        <v>2.7360000000000002</v>
      </c>
      <c r="F31" s="99">
        <f>IF(ISBLANK(E31),"Data Missing",Adjustments!E31-'NG Futures'!$F37)</f>
        <v>-0.53299999999999992</v>
      </c>
      <c r="H31" s="83"/>
      <c r="I31" s="83"/>
      <c r="J31" s="83"/>
      <c r="K31" s="83"/>
      <c r="L31" s="83"/>
      <c r="N31" s="83"/>
      <c r="O31" s="83"/>
      <c r="T31" s="244">
        <v>46508</v>
      </c>
      <c r="U31" s="245">
        <v>3.3940000000000001</v>
      </c>
      <c r="V31">
        <v>2.7890000000000001</v>
      </c>
      <c r="W31">
        <v>2.782</v>
      </c>
      <c r="X31">
        <v>2.7360000000000002</v>
      </c>
      <c r="Y31">
        <v>2.629</v>
      </c>
      <c r="Z31">
        <v>2.6840000000000002</v>
      </c>
      <c r="AB31" s="247"/>
      <c r="AC31" s="247"/>
    </row>
    <row r="32" spans="1:32" ht="12.75" customHeight="1" x14ac:dyDescent="0.25">
      <c r="A32" s="3">
        <v>30</v>
      </c>
      <c r="B32" s="8">
        <f t="shared" si="0"/>
        <v>46905</v>
      </c>
      <c r="C32" s="19" t="str">
        <f t="shared" si="2"/>
        <v>Jun</v>
      </c>
      <c r="D32" s="100">
        <f t="shared" si="3"/>
        <v>2028</v>
      </c>
      <c r="E32" s="162">
        <f t="shared" si="4"/>
        <v>2.867</v>
      </c>
      <c r="F32" s="99">
        <f>IF(ISBLANK(E32),"Data Missing",Adjustments!E32-'NG Futures'!$F38)</f>
        <v>-0.55299999999999994</v>
      </c>
      <c r="H32" s="83"/>
      <c r="I32" s="83"/>
      <c r="J32" s="83"/>
      <c r="K32" s="83"/>
      <c r="L32" s="83"/>
      <c r="N32" s="83"/>
      <c r="O32" s="83"/>
      <c r="T32" s="244">
        <v>46539</v>
      </c>
      <c r="U32" s="245">
        <v>3.5419999999999998</v>
      </c>
      <c r="V32">
        <v>2.944</v>
      </c>
      <c r="W32">
        <v>2.83</v>
      </c>
      <c r="X32">
        <v>2.867</v>
      </c>
      <c r="Y32">
        <v>2.8499999999999996</v>
      </c>
      <c r="Z32">
        <v>2.8739999999999997</v>
      </c>
      <c r="AB32" s="247"/>
      <c r="AC32" s="247"/>
    </row>
    <row r="33" spans="1:29" ht="12.75" customHeight="1" x14ac:dyDescent="0.25">
      <c r="A33" s="3">
        <v>31</v>
      </c>
      <c r="B33" s="8">
        <f t="shared" si="0"/>
        <v>46935</v>
      </c>
      <c r="C33" s="19" t="str">
        <f t="shared" si="2"/>
        <v>Jul</v>
      </c>
      <c r="D33" s="100">
        <f t="shared" si="3"/>
        <v>2028</v>
      </c>
      <c r="E33" s="162">
        <f t="shared" si="4"/>
        <v>3.0449999999999999</v>
      </c>
      <c r="F33" s="99">
        <f>IF(ISBLANK(E33),"Data Missing",Adjustments!E33-'NG Futures'!$F39)</f>
        <v>-0.55000000000000027</v>
      </c>
      <c r="H33" s="83"/>
      <c r="I33" s="83"/>
      <c r="J33" s="83"/>
      <c r="K33" s="83"/>
      <c r="L33" s="83"/>
      <c r="N33" s="83"/>
      <c r="O33" s="83"/>
      <c r="T33" s="244">
        <v>46569</v>
      </c>
      <c r="U33" s="245">
        <v>3.72</v>
      </c>
      <c r="V33">
        <v>3.1880000000000002</v>
      </c>
      <c r="W33">
        <v>2.8880000000000003</v>
      </c>
      <c r="X33">
        <v>3.0449999999999999</v>
      </c>
      <c r="Y33">
        <v>3.0700000000000003</v>
      </c>
      <c r="Z33">
        <v>3.1150000000000002</v>
      </c>
      <c r="AB33" s="247"/>
      <c r="AC33" s="247"/>
    </row>
    <row r="34" spans="1:29" ht="12.75" customHeight="1" x14ac:dyDescent="0.25">
      <c r="A34" s="3">
        <v>32</v>
      </c>
      <c r="B34" s="8">
        <f t="shared" si="0"/>
        <v>46966</v>
      </c>
      <c r="C34" s="19" t="str">
        <f t="shared" si="2"/>
        <v>Aug</v>
      </c>
      <c r="D34" s="100">
        <f t="shared" si="3"/>
        <v>2028</v>
      </c>
      <c r="E34" s="162">
        <f t="shared" si="4"/>
        <v>2.968</v>
      </c>
      <c r="F34" s="99">
        <f>IF(ISBLANK(E34),"Data Missing",Adjustments!E34-'NG Futures'!$F40)</f>
        <v>-0.69600000000000017</v>
      </c>
      <c r="H34" s="83"/>
      <c r="I34" s="83"/>
      <c r="J34" s="83"/>
      <c r="K34" s="83"/>
      <c r="L34" s="83"/>
      <c r="N34" s="83"/>
      <c r="O34" s="83"/>
      <c r="T34" s="244">
        <v>46600</v>
      </c>
      <c r="U34" s="245">
        <v>3.78</v>
      </c>
      <c r="V34">
        <v>3.2379999999999995</v>
      </c>
      <c r="W34">
        <v>2.8879999999999999</v>
      </c>
      <c r="X34">
        <v>2.968</v>
      </c>
      <c r="Y34">
        <v>3.0219999999999998</v>
      </c>
      <c r="Z34">
        <v>3.0919999999999996</v>
      </c>
      <c r="AB34" s="247"/>
      <c r="AC34" s="247"/>
    </row>
    <row r="35" spans="1:29" ht="12.75" customHeight="1" x14ac:dyDescent="0.25">
      <c r="A35" s="3">
        <v>33</v>
      </c>
      <c r="B35" s="8">
        <f t="shared" si="0"/>
        <v>46997</v>
      </c>
      <c r="C35" s="19" t="str">
        <f t="shared" si="2"/>
        <v>Sep</v>
      </c>
      <c r="D35" s="100">
        <f t="shared" si="3"/>
        <v>2028</v>
      </c>
      <c r="E35" s="162">
        <f t="shared" si="4"/>
        <v>2.6059999999999999</v>
      </c>
      <c r="F35" s="99">
        <f>IF(ISBLANK(E35),"Data Missing",Adjustments!E35-'NG Futures'!$F41)</f>
        <v>-1.0420000000000003</v>
      </c>
      <c r="H35" s="83"/>
      <c r="I35" s="83"/>
      <c r="J35" s="83"/>
      <c r="K35" s="83"/>
      <c r="L35" s="83"/>
      <c r="N35" s="83"/>
      <c r="O35" s="83"/>
      <c r="T35" s="244">
        <v>46631</v>
      </c>
      <c r="U35" s="245">
        <v>3.746</v>
      </c>
      <c r="V35">
        <v>3.1959999999999997</v>
      </c>
      <c r="W35">
        <v>2.8159999999999998</v>
      </c>
      <c r="X35">
        <v>2.6059999999999999</v>
      </c>
      <c r="Y35">
        <v>2.698</v>
      </c>
      <c r="Z35">
        <v>2.5960000000000001</v>
      </c>
      <c r="AB35" s="247"/>
      <c r="AC35" s="247"/>
    </row>
    <row r="36" spans="1:29" ht="12.75" customHeight="1" x14ac:dyDescent="0.25">
      <c r="A36" s="3">
        <v>34</v>
      </c>
      <c r="B36" s="8">
        <f t="shared" si="0"/>
        <v>47027</v>
      </c>
      <c r="C36" s="19" t="str">
        <f t="shared" si="2"/>
        <v>Oct</v>
      </c>
      <c r="D36" s="100">
        <f t="shared" si="3"/>
        <v>2028</v>
      </c>
      <c r="E36" s="162">
        <f t="shared" si="4"/>
        <v>2.7309999999999999</v>
      </c>
      <c r="F36" s="99">
        <f>IF(ISBLANK(E36),"Data Missing",Adjustments!E36-'NG Futures'!$F42)</f>
        <v>-0.98399999999999999</v>
      </c>
      <c r="H36" s="83"/>
      <c r="I36" s="83"/>
      <c r="J36" s="83"/>
      <c r="K36" s="83"/>
      <c r="L36" s="83"/>
      <c r="N36" s="83"/>
      <c r="O36" s="83"/>
      <c r="T36" s="244">
        <v>46661</v>
      </c>
      <c r="U36" s="245">
        <v>3.8029999999999999</v>
      </c>
      <c r="V36">
        <v>3.1709999999999998</v>
      </c>
      <c r="W36">
        <v>2.7530000000000001</v>
      </c>
      <c r="X36">
        <v>2.7309999999999999</v>
      </c>
      <c r="Y36">
        <v>2.5779999999999998</v>
      </c>
      <c r="Z36">
        <v>2.5609999999999999</v>
      </c>
      <c r="AB36" s="247"/>
      <c r="AC36" s="247"/>
    </row>
    <row r="37" spans="1:29" ht="12.75" customHeight="1" x14ac:dyDescent="0.25">
      <c r="A37" s="3">
        <v>35</v>
      </c>
      <c r="B37" s="8">
        <f t="shared" si="0"/>
        <v>47058</v>
      </c>
      <c r="C37" s="19" t="str">
        <f t="shared" si="2"/>
        <v>Nov</v>
      </c>
      <c r="D37" s="100">
        <f t="shared" si="3"/>
        <v>2028</v>
      </c>
      <c r="E37" s="162">
        <f t="shared" si="4"/>
        <v>3.3559999999999999</v>
      </c>
      <c r="F37" s="99">
        <f>IF(ISBLANK(E37),"Data Missing",Adjustments!E37-'NG Futures'!$F43)</f>
        <v>-0.60200000000000031</v>
      </c>
      <c r="H37" s="83"/>
      <c r="I37" s="83"/>
      <c r="J37" s="83"/>
      <c r="K37" s="83"/>
      <c r="L37" s="83"/>
      <c r="N37" s="83"/>
      <c r="O37" s="83"/>
      <c r="T37" s="244">
        <v>46692</v>
      </c>
      <c r="U37" s="245">
        <v>4.0110000000000001</v>
      </c>
      <c r="V37">
        <v>3.556</v>
      </c>
      <c r="W37">
        <v>3.0630000000000002</v>
      </c>
      <c r="X37">
        <v>3.3559999999999999</v>
      </c>
      <c r="Y37">
        <v>3.3130000000000002</v>
      </c>
      <c r="Z37">
        <v>3.7829999999999999</v>
      </c>
      <c r="AB37" s="247"/>
      <c r="AC37" s="247"/>
    </row>
    <row r="38" spans="1:29" ht="12.75" customHeight="1" x14ac:dyDescent="0.25">
      <c r="A38" s="3">
        <v>36</v>
      </c>
      <c r="B38" s="8">
        <f t="shared" si="0"/>
        <v>47088</v>
      </c>
      <c r="C38" s="19" t="str">
        <f t="shared" si="2"/>
        <v>Dec</v>
      </c>
      <c r="D38" s="100">
        <f t="shared" si="3"/>
        <v>2028</v>
      </c>
      <c r="E38" s="162">
        <f t="shared" si="4"/>
        <v>5.4660000000000002</v>
      </c>
      <c r="F38" s="99">
        <f>IF(ISBLANK(E38),"Data Missing",Adjustments!E38-'NG Futures'!$F44)</f>
        <v>1.056</v>
      </c>
      <c r="H38" s="83"/>
      <c r="I38" s="83"/>
      <c r="J38" s="83"/>
      <c r="K38" s="83"/>
      <c r="L38" s="83"/>
      <c r="N38" s="83"/>
      <c r="O38" s="83"/>
      <c r="T38" s="244">
        <v>46722</v>
      </c>
      <c r="U38" s="245">
        <v>4.4359999999999999</v>
      </c>
      <c r="V38">
        <v>4.2809999999999997</v>
      </c>
      <c r="W38">
        <v>3.7480000000000002</v>
      </c>
      <c r="X38">
        <v>5.4660000000000002</v>
      </c>
      <c r="Y38">
        <v>5.0880000000000001</v>
      </c>
      <c r="Z38">
        <v>6.2110000000000003</v>
      </c>
      <c r="AB38" s="247"/>
      <c r="AC38" s="247"/>
    </row>
    <row r="39" spans="1:29" ht="12.75" customHeight="1" x14ac:dyDescent="0.25">
      <c r="A39" s="3">
        <v>37</v>
      </c>
      <c r="B39" s="8">
        <f t="shared" si="0"/>
        <v>47119</v>
      </c>
      <c r="C39" s="19" t="str">
        <f t="shared" si="2"/>
        <v>Jan</v>
      </c>
      <c r="D39" s="100">
        <f t="shared" si="3"/>
        <v>2029</v>
      </c>
      <c r="E39" s="162">
        <f t="shared" si="4"/>
        <v>7.8620000000000001</v>
      </c>
      <c r="F39" s="99">
        <f>IF(ISBLANK(E39),"Data Missing",Adjustments!E39-'NG Futures'!$F45)</f>
        <v>3.1870000000000003</v>
      </c>
      <c r="H39" s="83"/>
      <c r="I39" s="83"/>
      <c r="J39" s="83"/>
      <c r="K39" s="83"/>
      <c r="L39" s="83"/>
      <c r="N39" s="83"/>
      <c r="O39" s="83"/>
      <c r="T39" s="244">
        <v>46753</v>
      </c>
      <c r="U39" s="245">
        <v>4.734</v>
      </c>
      <c r="V39">
        <v>4.9320000000000004</v>
      </c>
      <c r="W39">
        <v>4.3659999999999997</v>
      </c>
      <c r="X39">
        <v>7.8620000000000001</v>
      </c>
      <c r="Y39">
        <v>7.5659999999999998</v>
      </c>
      <c r="Z39">
        <v>9.2959999999999994</v>
      </c>
      <c r="AB39" s="247"/>
      <c r="AC39" s="247"/>
    </row>
    <row r="40" spans="1:29" ht="12.75" customHeight="1" x14ac:dyDescent="0.25">
      <c r="A40" s="3">
        <v>38</v>
      </c>
      <c r="B40" s="8">
        <f t="shared" si="0"/>
        <v>47150</v>
      </c>
      <c r="C40" s="19" t="str">
        <f t="shared" si="2"/>
        <v>Feb</v>
      </c>
      <c r="D40" s="100">
        <f t="shared" si="3"/>
        <v>2029</v>
      </c>
      <c r="E40" s="162">
        <f t="shared" si="4"/>
        <v>7.3029999999999999</v>
      </c>
      <c r="F40" s="99">
        <f>IF(ISBLANK(E40),"Data Missing",Adjustments!E40-'NG Futures'!$F46)</f>
        <v>2.9699999999999998</v>
      </c>
      <c r="H40" s="83"/>
      <c r="I40" s="83"/>
      <c r="J40" s="83"/>
      <c r="K40" s="83"/>
      <c r="L40" s="83"/>
      <c r="N40" s="83"/>
      <c r="O40" s="83"/>
      <c r="T40" s="244">
        <v>46784</v>
      </c>
      <c r="U40" s="245">
        <v>4.3929999999999998</v>
      </c>
      <c r="V40">
        <v>4.5809999999999995</v>
      </c>
      <c r="W40">
        <v>4.0380000000000003</v>
      </c>
      <c r="X40">
        <v>7.3029999999999999</v>
      </c>
      <c r="Y40">
        <v>6.6549999999999994</v>
      </c>
      <c r="Z40">
        <v>8.5410000000000004</v>
      </c>
      <c r="AB40" s="247"/>
      <c r="AC40" s="247"/>
    </row>
    <row r="41" spans="1:29" ht="12.75" customHeight="1" x14ac:dyDescent="0.25">
      <c r="A41" s="3">
        <v>39</v>
      </c>
      <c r="B41" s="8">
        <f t="shared" si="0"/>
        <v>47178</v>
      </c>
      <c r="C41" s="19" t="str">
        <f t="shared" si="2"/>
        <v>Mar</v>
      </c>
      <c r="D41" s="100">
        <f t="shared" si="3"/>
        <v>2029</v>
      </c>
      <c r="E41" s="162">
        <f t="shared" si="4"/>
        <v>3.65</v>
      </c>
      <c r="F41" s="99">
        <f>IF(ISBLANK(E41),"Data Missing",Adjustments!E41-'NG Futures'!$F47)</f>
        <v>1.1000000000000121E-2</v>
      </c>
      <c r="H41" s="83"/>
      <c r="I41" s="83"/>
      <c r="J41" s="83"/>
      <c r="K41" s="83"/>
      <c r="L41" s="83"/>
      <c r="N41" s="83"/>
      <c r="O41" s="83"/>
      <c r="T41" s="244">
        <v>46813</v>
      </c>
      <c r="U41" s="245">
        <v>3.7679999999999998</v>
      </c>
      <c r="V41">
        <v>3.476</v>
      </c>
      <c r="W41">
        <v>3.3859999999999997</v>
      </c>
      <c r="X41">
        <v>3.65</v>
      </c>
      <c r="Y41">
        <v>3.4429999999999996</v>
      </c>
      <c r="Z41">
        <v>5.2729999999999997</v>
      </c>
      <c r="AB41" s="247"/>
      <c r="AC41" s="247"/>
    </row>
    <row r="42" spans="1:29" ht="12.75" customHeight="1" x14ac:dyDescent="0.25">
      <c r="A42" s="3">
        <v>40</v>
      </c>
      <c r="B42" s="8">
        <f t="shared" si="0"/>
        <v>47209</v>
      </c>
      <c r="C42" s="19" t="str">
        <f t="shared" si="2"/>
        <v>Apr</v>
      </c>
      <c r="D42" s="100">
        <f t="shared" si="3"/>
        <v>2029</v>
      </c>
      <c r="E42" s="162">
        <f t="shared" si="4"/>
        <v>2.8380000000000001</v>
      </c>
      <c r="F42" s="99">
        <f>IF(ISBLANK(E42),"Data Missing",Adjustments!E42-'NG Futures'!$F48)</f>
        <v>-0.33699999999999974</v>
      </c>
      <c r="H42" s="83"/>
      <c r="I42" s="83"/>
      <c r="J42" s="83"/>
      <c r="K42" s="83"/>
      <c r="L42" s="83"/>
      <c r="N42" s="83"/>
      <c r="O42" s="83"/>
      <c r="T42" s="244">
        <v>46844</v>
      </c>
      <c r="U42" s="245">
        <v>3.298</v>
      </c>
      <c r="V42">
        <v>2.8079999999999998</v>
      </c>
      <c r="W42">
        <v>2.6760000000000002</v>
      </c>
      <c r="X42">
        <v>2.8380000000000001</v>
      </c>
      <c r="Y42">
        <v>2.9279999999999999</v>
      </c>
      <c r="Z42">
        <v>2.8530000000000002</v>
      </c>
      <c r="AB42" s="247"/>
      <c r="AC42" s="247"/>
    </row>
    <row r="43" spans="1:29" ht="12.75" customHeight="1" x14ac:dyDescent="0.25">
      <c r="A43" s="3">
        <v>41</v>
      </c>
      <c r="B43" s="8">
        <f t="shared" si="0"/>
        <v>47239</v>
      </c>
      <c r="C43" s="19" t="str">
        <f t="shared" si="2"/>
        <v>May</v>
      </c>
      <c r="D43" s="100">
        <f t="shared" si="3"/>
        <v>2029</v>
      </c>
      <c r="E43" s="162">
        <f t="shared" si="4"/>
        <v>2.6970000000000001</v>
      </c>
      <c r="F43" s="99">
        <f>IF(ISBLANK(E43),"Data Missing",Adjustments!E43-'NG Futures'!$F49)</f>
        <v>-0.45699999999999985</v>
      </c>
      <c r="H43" s="83"/>
      <c r="I43" s="83"/>
      <c r="J43" s="83"/>
      <c r="K43" s="83"/>
      <c r="L43" s="83"/>
      <c r="N43" s="83"/>
      <c r="O43" s="83"/>
      <c r="T43" s="244">
        <v>46874</v>
      </c>
      <c r="U43" s="245">
        <v>3.2690000000000001</v>
      </c>
      <c r="V43">
        <v>2.7389999999999999</v>
      </c>
      <c r="W43">
        <v>2.629</v>
      </c>
      <c r="X43">
        <v>2.6970000000000001</v>
      </c>
      <c r="Y43">
        <v>2.7469999999999999</v>
      </c>
      <c r="Z43">
        <v>2.5640000000000001</v>
      </c>
      <c r="AB43" s="247"/>
      <c r="AC43" s="247"/>
    </row>
    <row r="44" spans="1:29" ht="12.75" customHeight="1" x14ac:dyDescent="0.25">
      <c r="A44" s="3">
        <v>42</v>
      </c>
      <c r="B44" s="8">
        <f t="shared" si="0"/>
        <v>47270</v>
      </c>
      <c r="C44" s="19" t="str">
        <f t="shared" si="2"/>
        <v>Jun</v>
      </c>
      <c r="D44" s="100">
        <f t="shared" si="3"/>
        <v>2029</v>
      </c>
      <c r="E44" s="162">
        <f t="shared" si="4"/>
        <v>2.83</v>
      </c>
      <c r="F44" s="99">
        <f>IF(ISBLANK(E44),"Data Missing",Adjustments!E44-'NG Futures'!$F50)</f>
        <v>-0.47399999999999975</v>
      </c>
      <c r="H44" s="83"/>
      <c r="I44" s="83"/>
      <c r="J44" s="83"/>
      <c r="K44" s="83"/>
      <c r="L44" s="83"/>
      <c r="N44" s="83"/>
      <c r="O44" s="83"/>
      <c r="T44" s="244">
        <v>46905</v>
      </c>
      <c r="U44" s="245">
        <v>3.42</v>
      </c>
      <c r="V44">
        <v>2.895</v>
      </c>
      <c r="W44">
        <v>2.742</v>
      </c>
      <c r="X44">
        <v>2.83</v>
      </c>
      <c r="Y44">
        <v>2.8380000000000001</v>
      </c>
      <c r="Z44">
        <v>2.7679999999999998</v>
      </c>
      <c r="AB44" s="247"/>
      <c r="AC44" s="247"/>
    </row>
    <row r="45" spans="1:29" ht="12.75" customHeight="1" x14ac:dyDescent="0.25">
      <c r="A45" s="3">
        <v>43</v>
      </c>
      <c r="B45" s="8">
        <f t="shared" si="0"/>
        <v>47300</v>
      </c>
      <c r="C45" s="19" t="str">
        <f t="shared" si="2"/>
        <v>Jul</v>
      </c>
      <c r="D45" s="100">
        <f t="shared" si="3"/>
        <v>2029</v>
      </c>
      <c r="E45" s="162">
        <f t="shared" si="4"/>
        <v>2.8550000000000004</v>
      </c>
      <c r="F45" s="99">
        <f>IF(ISBLANK(E45),"Data Missing",Adjustments!E45-'NG Futures'!$F51)</f>
        <v>-0.61899999999999977</v>
      </c>
      <c r="H45" s="83"/>
      <c r="I45" s="83"/>
      <c r="J45" s="83"/>
      <c r="K45" s="83"/>
      <c r="L45" s="83"/>
      <c r="N45" s="83"/>
      <c r="O45" s="83"/>
      <c r="T45" s="244">
        <v>46935</v>
      </c>
      <c r="U45" s="245">
        <v>3.5950000000000002</v>
      </c>
      <c r="V45">
        <v>3.1300000000000003</v>
      </c>
      <c r="W45">
        <v>2.8950000000000005</v>
      </c>
      <c r="X45">
        <v>2.8550000000000004</v>
      </c>
      <c r="Y45">
        <v>2.9350000000000001</v>
      </c>
      <c r="Z45">
        <v>2.9950000000000001</v>
      </c>
      <c r="AB45" s="247"/>
      <c r="AC45" s="247"/>
    </row>
    <row r="46" spans="1:29" ht="12.75" customHeight="1" x14ac:dyDescent="0.25">
      <c r="A46" s="3">
        <v>44</v>
      </c>
      <c r="B46" s="8">
        <f t="shared" si="0"/>
        <v>47331</v>
      </c>
      <c r="C46" s="19" t="str">
        <f t="shared" si="2"/>
        <v>Aug</v>
      </c>
      <c r="D46" s="100">
        <f t="shared" si="3"/>
        <v>2029</v>
      </c>
      <c r="E46" s="162">
        <f t="shared" si="4"/>
        <v>2.8120000000000003</v>
      </c>
      <c r="F46" s="99">
        <f>IF(ISBLANK(E46),"Data Missing",Adjustments!E46-'NG Futures'!$F52)</f>
        <v>-0.73199999999999976</v>
      </c>
      <c r="H46" s="83"/>
      <c r="I46" s="83"/>
      <c r="J46" s="83"/>
      <c r="K46" s="83"/>
      <c r="L46" s="83"/>
      <c r="N46" s="83"/>
      <c r="O46" s="83"/>
      <c r="T46" s="244">
        <v>46966</v>
      </c>
      <c r="U46" s="245">
        <v>3.6640000000000001</v>
      </c>
      <c r="V46">
        <v>3.194</v>
      </c>
      <c r="W46">
        <v>2.9240000000000004</v>
      </c>
      <c r="X46">
        <v>2.8120000000000003</v>
      </c>
      <c r="Y46">
        <v>2.8940000000000001</v>
      </c>
      <c r="Z46">
        <v>3.0540000000000003</v>
      </c>
      <c r="AB46" s="247"/>
      <c r="AC46" s="247"/>
    </row>
    <row r="47" spans="1:29" ht="12.75" customHeight="1" x14ac:dyDescent="0.25">
      <c r="A47" s="3">
        <v>45</v>
      </c>
      <c r="B47" s="8">
        <f t="shared" si="0"/>
        <v>47362</v>
      </c>
      <c r="C47" s="19" t="str">
        <f t="shared" si="2"/>
        <v>Sep</v>
      </c>
      <c r="D47" s="100">
        <f t="shared" si="3"/>
        <v>2029</v>
      </c>
      <c r="E47" s="162">
        <f t="shared" si="4"/>
        <v>2.6130000000000004</v>
      </c>
      <c r="F47" s="99">
        <f>IF(ISBLANK(E47),"Data Missing",Adjustments!E47-'NG Futures'!$F53)</f>
        <v>-0.92499999999999938</v>
      </c>
      <c r="H47" s="83"/>
      <c r="I47" s="83"/>
      <c r="J47" s="83"/>
      <c r="K47" s="83"/>
      <c r="L47" s="83"/>
      <c r="N47" s="83"/>
      <c r="O47" s="83"/>
      <c r="T47" s="244">
        <v>46997</v>
      </c>
      <c r="U47" s="245">
        <v>3.6480000000000001</v>
      </c>
      <c r="V47">
        <v>3.1280000000000001</v>
      </c>
      <c r="W47">
        <v>2.87</v>
      </c>
      <c r="X47">
        <v>2.6130000000000004</v>
      </c>
      <c r="Y47">
        <v>2.7229999999999999</v>
      </c>
      <c r="Z47">
        <v>2.4860000000000002</v>
      </c>
      <c r="AB47" s="247"/>
      <c r="AC47" s="247"/>
    </row>
    <row r="48" spans="1:29" ht="12.75" customHeight="1" x14ac:dyDescent="0.25">
      <c r="A48" s="3">
        <v>46</v>
      </c>
      <c r="B48" s="8">
        <f t="shared" si="0"/>
        <v>47392</v>
      </c>
      <c r="C48" s="19" t="str">
        <f t="shared" si="2"/>
        <v>Oct</v>
      </c>
      <c r="D48" s="100">
        <f t="shared" si="3"/>
        <v>2029</v>
      </c>
      <c r="E48" s="162">
        <f t="shared" si="4"/>
        <v>2.7530000000000001</v>
      </c>
      <c r="F48" s="99">
        <f>IF(ISBLANK(E48),"Data Missing",Adjustments!E48-'NG Futures'!$F54)</f>
        <v>-0.8580000000000001</v>
      </c>
      <c r="H48" s="83"/>
      <c r="I48" s="83"/>
      <c r="J48" s="83"/>
      <c r="K48" s="83"/>
      <c r="L48" s="83"/>
      <c r="N48" s="83"/>
      <c r="O48" s="83"/>
      <c r="T48" s="244">
        <v>47027</v>
      </c>
      <c r="U48" s="245">
        <v>3.7149999999999999</v>
      </c>
      <c r="V48">
        <v>3.1399999999999997</v>
      </c>
      <c r="W48">
        <v>2.9929999999999999</v>
      </c>
      <c r="X48">
        <v>2.7530000000000001</v>
      </c>
      <c r="Y48">
        <v>2.6129999999999995</v>
      </c>
      <c r="Z48">
        <v>2.4529999999999998</v>
      </c>
      <c r="AB48" s="247"/>
      <c r="AC48" s="247"/>
    </row>
    <row r="49" spans="1:29" ht="12.75" customHeight="1" x14ac:dyDescent="0.25">
      <c r="A49" s="3">
        <v>47</v>
      </c>
      <c r="B49" s="8">
        <f t="shared" si="0"/>
        <v>47423</v>
      </c>
      <c r="C49" s="19" t="str">
        <f t="shared" si="2"/>
        <v>Nov</v>
      </c>
      <c r="D49" s="100">
        <f t="shared" si="3"/>
        <v>2029</v>
      </c>
      <c r="E49" s="162">
        <f t="shared" si="4"/>
        <v>3.6360000000000001</v>
      </c>
      <c r="F49" s="99">
        <f>IF(ISBLANK(E49),"Data Missing",Adjustments!E49-'NG Futures'!$F55)</f>
        <v>-0.16199999999999992</v>
      </c>
      <c r="H49" s="83"/>
      <c r="I49" s="83"/>
      <c r="J49" s="83"/>
      <c r="K49" s="83"/>
      <c r="L49" s="83"/>
      <c r="N49" s="83"/>
      <c r="O49" s="83"/>
      <c r="T49" s="244">
        <v>47058</v>
      </c>
      <c r="U49" s="245">
        <v>3.9580000000000002</v>
      </c>
      <c r="V49">
        <v>3.3660000000000001</v>
      </c>
      <c r="W49">
        <v>3.403</v>
      </c>
      <c r="X49">
        <v>3.6360000000000001</v>
      </c>
      <c r="Y49">
        <v>3.1380000000000003</v>
      </c>
      <c r="Z49">
        <v>4.6400000000000006</v>
      </c>
      <c r="AB49" s="247"/>
      <c r="AC49" s="247"/>
    </row>
    <row r="50" spans="1:29" ht="12.75" customHeight="1" x14ac:dyDescent="0.25">
      <c r="A50" s="3">
        <v>48</v>
      </c>
      <c r="B50" s="8">
        <f t="shared" si="0"/>
        <v>47453</v>
      </c>
      <c r="C50" s="19" t="str">
        <f t="shared" si="2"/>
        <v>Dec</v>
      </c>
      <c r="D50" s="100">
        <f t="shared" si="3"/>
        <v>2029</v>
      </c>
      <c r="E50" s="162">
        <f t="shared" si="4"/>
        <v>5.28</v>
      </c>
      <c r="F50" s="99">
        <f>IF(ISBLANK(E50),"Data Missing",Adjustments!E50-'NG Futures'!$F56)</f>
        <v>1.0410000000000004</v>
      </c>
      <c r="H50" s="83"/>
      <c r="I50" s="83"/>
      <c r="J50" s="83"/>
      <c r="K50" s="83"/>
      <c r="L50" s="83"/>
      <c r="N50" s="83"/>
      <c r="O50" s="83"/>
      <c r="T50" s="244">
        <v>47088</v>
      </c>
      <c r="U50" s="245">
        <v>4.41</v>
      </c>
      <c r="V50">
        <v>4.18</v>
      </c>
      <c r="W50">
        <v>3.8320000000000003</v>
      </c>
      <c r="X50">
        <v>5.28</v>
      </c>
      <c r="Y50">
        <v>5.1219999999999999</v>
      </c>
      <c r="Z50">
        <v>6.2549999999999999</v>
      </c>
      <c r="AB50" s="247"/>
      <c r="AC50" s="247"/>
    </row>
    <row r="51" spans="1:29" ht="12.75" customHeight="1" x14ac:dyDescent="0.25">
      <c r="A51" s="83"/>
      <c r="B51" s="83"/>
      <c r="C51" s="83"/>
      <c r="D51" s="83"/>
      <c r="E51" s="83"/>
      <c r="F51" s="83"/>
      <c r="H51" s="83"/>
      <c r="I51" s="83"/>
      <c r="J51" s="83"/>
      <c r="K51" s="83"/>
      <c r="L51" s="83"/>
      <c r="N51" s="83"/>
      <c r="O51" s="83"/>
      <c r="T51" s="244">
        <v>47119</v>
      </c>
      <c r="U51" s="245">
        <v>4.6749999999999998</v>
      </c>
      <c r="V51">
        <v>4.8650000000000002</v>
      </c>
      <c r="W51">
        <v>4.1849999999999996</v>
      </c>
      <c r="X51">
        <v>7.9669999999999996</v>
      </c>
      <c r="Y51">
        <v>7.827</v>
      </c>
      <c r="Z51">
        <v>9.277000000000001</v>
      </c>
      <c r="AB51" s="247"/>
      <c r="AC51" s="247"/>
    </row>
    <row r="52" spans="1:29" ht="12.75" customHeight="1" x14ac:dyDescent="0.25">
      <c r="A52" s="83"/>
      <c r="B52" s="83"/>
      <c r="C52" s="83"/>
      <c r="D52" s="83"/>
      <c r="E52" s="83"/>
      <c r="F52" s="83"/>
      <c r="H52" s="83"/>
      <c r="I52" s="83"/>
      <c r="J52" s="83"/>
      <c r="K52" s="83"/>
      <c r="L52" s="83"/>
      <c r="N52" s="83"/>
      <c r="O52" s="83"/>
      <c r="T52" s="244">
        <v>47150</v>
      </c>
      <c r="U52" s="245">
        <v>4.3330000000000002</v>
      </c>
      <c r="V52">
        <v>4.508</v>
      </c>
      <c r="W52">
        <v>3.871</v>
      </c>
      <c r="X52">
        <v>6.875</v>
      </c>
      <c r="Y52">
        <v>6.601</v>
      </c>
      <c r="Z52">
        <v>8.2349999999999994</v>
      </c>
      <c r="AB52" s="247"/>
      <c r="AC52" s="247"/>
    </row>
    <row r="53" spans="1:29" ht="12.75" customHeight="1" x14ac:dyDescent="0.25">
      <c r="A53" s="83"/>
      <c r="B53" s="83"/>
      <c r="C53" s="83"/>
      <c r="D53" s="83"/>
      <c r="E53" s="83"/>
      <c r="F53" s="83"/>
      <c r="H53" s="83"/>
      <c r="I53" s="83"/>
      <c r="J53" s="83"/>
      <c r="K53" s="83"/>
      <c r="L53" s="83"/>
      <c r="N53" s="83"/>
      <c r="O53" s="83"/>
      <c r="T53" s="244">
        <v>47178</v>
      </c>
      <c r="U53" s="245">
        <v>3.6389999999999998</v>
      </c>
      <c r="V53">
        <v>3.7269999999999999</v>
      </c>
      <c r="W53">
        <v>3.141</v>
      </c>
      <c r="X53">
        <v>3.7669999999999999</v>
      </c>
      <c r="Y53">
        <v>3.5739999999999998</v>
      </c>
      <c r="Z53">
        <v>4.8709999999999996</v>
      </c>
      <c r="AB53" s="247"/>
      <c r="AC53" s="247"/>
    </row>
    <row r="54" spans="1:29" ht="12.75" customHeight="1" x14ac:dyDescent="0.25">
      <c r="A54" s="83"/>
      <c r="B54" s="83"/>
      <c r="C54" s="83"/>
      <c r="D54" s="83"/>
      <c r="E54" s="83"/>
      <c r="F54" s="83"/>
      <c r="H54" s="83"/>
      <c r="I54" s="83"/>
      <c r="J54" s="83"/>
      <c r="K54" s="83"/>
      <c r="L54" s="83"/>
      <c r="N54" s="83"/>
      <c r="O54" s="83"/>
      <c r="T54" s="244">
        <v>47209</v>
      </c>
      <c r="U54" s="245">
        <v>3.1749999999999998</v>
      </c>
      <c r="V54">
        <v>2.7050000000000001</v>
      </c>
      <c r="W54">
        <v>2.6029999999999998</v>
      </c>
      <c r="X54">
        <v>2.6529999999999996</v>
      </c>
      <c r="Y54">
        <v>2.7549999999999999</v>
      </c>
      <c r="Z54">
        <v>2.7869999999999999</v>
      </c>
      <c r="AB54" s="247"/>
      <c r="AC54" s="247"/>
    </row>
    <row r="55" spans="1:29" ht="12.75" customHeight="1" x14ac:dyDescent="0.25">
      <c r="A55" s="83"/>
      <c r="B55" s="83"/>
      <c r="C55" s="83"/>
      <c r="D55" s="83"/>
      <c r="E55" s="83"/>
      <c r="F55" s="83"/>
      <c r="H55" s="83"/>
      <c r="I55" s="83"/>
      <c r="J55" s="83"/>
      <c r="K55" s="83"/>
      <c r="L55" s="83"/>
      <c r="N55" s="83"/>
      <c r="O55" s="83"/>
      <c r="T55" s="244">
        <v>47239</v>
      </c>
      <c r="U55" s="245">
        <v>3.1539999999999999</v>
      </c>
      <c r="V55">
        <v>2.6360000000000001</v>
      </c>
      <c r="W55">
        <v>2.5640000000000001</v>
      </c>
      <c r="X55">
        <v>2.516</v>
      </c>
      <c r="Y55">
        <v>2.4539999999999997</v>
      </c>
      <c r="Z55">
        <v>2.4819999999999998</v>
      </c>
      <c r="AB55" s="247"/>
      <c r="AC55" s="247"/>
    </row>
    <row r="56" spans="1:29" ht="12.75" customHeight="1" x14ac:dyDescent="0.25">
      <c r="A56" s="83"/>
      <c r="B56" s="83"/>
      <c r="C56" s="83"/>
      <c r="D56" s="83"/>
      <c r="E56" s="83"/>
      <c r="F56" s="83"/>
      <c r="H56" s="83"/>
      <c r="I56" s="83"/>
      <c r="J56" s="83"/>
      <c r="K56" s="83"/>
      <c r="L56" s="83"/>
      <c r="N56" s="83"/>
      <c r="O56" s="83"/>
      <c r="T56" s="244">
        <v>47270</v>
      </c>
      <c r="U56" s="245">
        <v>3.3039999999999998</v>
      </c>
      <c r="V56">
        <v>2.7919999999999998</v>
      </c>
      <c r="W56">
        <v>2.6759999999999997</v>
      </c>
      <c r="X56">
        <v>2.6519999999999997</v>
      </c>
      <c r="Y56">
        <v>2.6719999999999997</v>
      </c>
      <c r="Z56">
        <v>2.694</v>
      </c>
      <c r="AB56" s="247"/>
      <c r="AC56" s="247"/>
    </row>
    <row r="57" spans="1:29" ht="12.75" customHeight="1" x14ac:dyDescent="0.25">
      <c r="A57" s="83"/>
      <c r="B57" s="83"/>
      <c r="C57" s="83"/>
      <c r="D57" s="83"/>
      <c r="E57" s="83"/>
      <c r="F57" s="83"/>
      <c r="H57" s="83"/>
      <c r="I57" s="83"/>
      <c r="J57" s="83"/>
      <c r="K57" s="83"/>
      <c r="L57" s="83"/>
      <c r="N57" s="83"/>
      <c r="O57" s="83"/>
      <c r="T57" s="244">
        <v>47300</v>
      </c>
      <c r="U57" s="245">
        <v>3.4740000000000002</v>
      </c>
      <c r="V57">
        <v>3.0260000000000002</v>
      </c>
      <c r="W57">
        <v>2.8720000000000003</v>
      </c>
      <c r="X57">
        <v>2.7460000000000004</v>
      </c>
      <c r="Y57">
        <v>2.7840000000000003</v>
      </c>
      <c r="Z57">
        <v>2.9060000000000001</v>
      </c>
      <c r="AB57" s="247"/>
      <c r="AC57" s="247"/>
    </row>
    <row r="58" spans="1:29" ht="12.75" customHeight="1" x14ac:dyDescent="0.25">
      <c r="A58" s="83"/>
      <c r="B58" s="83"/>
      <c r="C58" s="83"/>
      <c r="D58" s="83"/>
      <c r="E58" s="83"/>
      <c r="F58" s="83"/>
      <c r="H58" s="83"/>
      <c r="I58" s="83"/>
      <c r="J58" s="83"/>
      <c r="K58" s="83"/>
      <c r="L58" s="83"/>
      <c r="N58" s="83"/>
      <c r="O58" s="83"/>
      <c r="T58" s="244">
        <v>47331</v>
      </c>
      <c r="U58" s="245">
        <v>3.544</v>
      </c>
      <c r="V58">
        <v>3.0920000000000001</v>
      </c>
      <c r="W58">
        <v>2.899</v>
      </c>
      <c r="X58">
        <v>2.7919999999999998</v>
      </c>
      <c r="Y58">
        <v>2.8639999999999999</v>
      </c>
      <c r="Z58">
        <v>2.9660000000000002</v>
      </c>
      <c r="AB58" s="247"/>
      <c r="AC58" s="247"/>
    </row>
    <row r="59" spans="1:29" ht="12.75" customHeight="1" x14ac:dyDescent="0.25">
      <c r="A59" s="83"/>
      <c r="B59" s="83"/>
      <c r="C59" s="83"/>
      <c r="D59" s="83"/>
      <c r="E59" s="83"/>
      <c r="F59" s="83"/>
      <c r="H59" s="83"/>
      <c r="I59" s="83"/>
      <c r="J59" s="83"/>
      <c r="K59" s="83"/>
      <c r="L59" s="83"/>
      <c r="N59" s="83"/>
      <c r="O59" s="83"/>
      <c r="T59" s="244">
        <v>47362</v>
      </c>
      <c r="U59" s="245">
        <v>3.5379999999999998</v>
      </c>
      <c r="V59">
        <v>3.0759999999999996</v>
      </c>
      <c r="W59">
        <v>2.8499999999999996</v>
      </c>
      <c r="X59">
        <v>2.5960000000000001</v>
      </c>
      <c r="Y59">
        <v>2.706</v>
      </c>
      <c r="Z59">
        <v>2.3899999999999997</v>
      </c>
      <c r="AB59" s="247"/>
      <c r="AC59" s="247"/>
    </row>
    <row r="60" spans="1:29" ht="12.75" customHeight="1" x14ac:dyDescent="0.25">
      <c r="A60" s="83"/>
      <c r="B60" s="83"/>
      <c r="C60" s="83"/>
      <c r="D60" s="83"/>
      <c r="E60" s="83"/>
      <c r="F60" s="83"/>
      <c r="H60" s="83"/>
      <c r="I60" s="83"/>
      <c r="J60" s="83"/>
      <c r="K60" s="83"/>
      <c r="L60" s="83"/>
      <c r="N60" s="83"/>
      <c r="O60" s="83"/>
      <c r="T60" s="244">
        <v>47392</v>
      </c>
      <c r="U60" s="245">
        <v>3.6110000000000002</v>
      </c>
      <c r="V60">
        <v>3.1160000000000001</v>
      </c>
      <c r="W60">
        <v>2.9530000000000003</v>
      </c>
      <c r="X60">
        <v>2.7490000000000001</v>
      </c>
      <c r="Y60">
        <v>2.7990000000000004</v>
      </c>
      <c r="Z60">
        <v>2.3560000000000003</v>
      </c>
      <c r="AB60" s="247"/>
      <c r="AC60" s="247"/>
    </row>
    <row r="61" spans="1:29" ht="12.75" customHeight="1" x14ac:dyDescent="0.25">
      <c r="A61" s="83"/>
      <c r="B61" s="83"/>
      <c r="C61" s="83"/>
      <c r="D61" s="83"/>
      <c r="E61" s="83"/>
      <c r="F61" s="83"/>
      <c r="H61" s="83"/>
      <c r="I61" s="83"/>
      <c r="J61" s="83"/>
      <c r="K61" s="83"/>
      <c r="L61" s="83"/>
      <c r="N61" s="83"/>
      <c r="O61" s="83"/>
      <c r="T61" s="244">
        <v>47423</v>
      </c>
      <c r="U61" s="245">
        <v>3.798</v>
      </c>
      <c r="V61">
        <v>3.3879999999999999</v>
      </c>
      <c r="W61">
        <v>3.3079999999999998</v>
      </c>
      <c r="X61">
        <v>3.7730000000000001</v>
      </c>
      <c r="Y61">
        <v>3.198</v>
      </c>
      <c r="Z61">
        <v>4.9359999999999999</v>
      </c>
      <c r="AB61" s="247"/>
      <c r="AC61" s="247"/>
    </row>
    <row r="62" spans="1:29" ht="12.75" customHeight="1" x14ac:dyDescent="0.25">
      <c r="A62" s="83"/>
      <c r="B62" s="83"/>
      <c r="C62" s="83"/>
      <c r="D62" s="83"/>
      <c r="E62" s="83"/>
      <c r="F62" s="83"/>
      <c r="H62" s="83"/>
      <c r="I62" s="83"/>
      <c r="J62" s="83"/>
      <c r="K62" s="83"/>
      <c r="L62" s="83"/>
      <c r="N62" s="83"/>
      <c r="O62" s="83"/>
      <c r="T62" s="244">
        <v>47453</v>
      </c>
      <c r="U62" s="245">
        <v>4.2389999999999999</v>
      </c>
      <c r="V62">
        <v>3.847</v>
      </c>
      <c r="W62">
        <v>3.7269999999999999</v>
      </c>
      <c r="X62">
        <v>4.9939999999999998</v>
      </c>
      <c r="Y62">
        <v>4.7969999999999997</v>
      </c>
      <c r="Z62">
        <v>5.9139999999999997</v>
      </c>
      <c r="AB62" s="247"/>
      <c r="AC62" s="247"/>
    </row>
    <row r="63" spans="1:29" ht="12.75" customHeight="1" x14ac:dyDescent="0.25">
      <c r="A63" s="83"/>
      <c r="B63" s="83"/>
      <c r="C63" s="83"/>
      <c r="D63" s="83"/>
      <c r="E63" s="83"/>
      <c r="F63" s="83"/>
      <c r="H63" s="83"/>
      <c r="I63" s="83"/>
      <c r="J63" s="83"/>
      <c r="K63" s="83"/>
      <c r="L63" s="83"/>
      <c r="N63" s="83"/>
      <c r="O63" s="83"/>
      <c r="T63" s="244">
        <v>47484</v>
      </c>
      <c r="U63" s="245">
        <v>4.5049999999999999</v>
      </c>
      <c r="V63">
        <v>4.6499999999999995</v>
      </c>
      <c r="W63">
        <v>4.0869999999999997</v>
      </c>
      <c r="X63">
        <v>6.9529999999999994</v>
      </c>
      <c r="Y63">
        <v>7.1349999999999998</v>
      </c>
      <c r="Z63">
        <v>7.7969999999999997</v>
      </c>
      <c r="AB63" s="247"/>
      <c r="AC63" s="247"/>
    </row>
    <row r="64" spans="1:29" x14ac:dyDescent="0.25">
      <c r="A64" s="83"/>
      <c r="B64" s="83"/>
      <c r="C64" s="83"/>
      <c r="D64" s="83"/>
      <c r="E64" s="83"/>
      <c r="F64" s="83"/>
      <c r="H64" s="83"/>
      <c r="I64" s="83"/>
      <c r="J64" s="83"/>
      <c r="K64" s="83"/>
      <c r="L64" s="83"/>
      <c r="N64" s="83"/>
      <c r="O64" s="83"/>
      <c r="T64" s="244">
        <v>47515</v>
      </c>
      <c r="U64" s="245">
        <v>4.22</v>
      </c>
      <c r="V64">
        <v>4.3499999999999996</v>
      </c>
      <c r="W64">
        <v>3.8249999999999997</v>
      </c>
      <c r="X64">
        <v>6.42</v>
      </c>
      <c r="Y64">
        <v>6.6180000000000003</v>
      </c>
      <c r="Z64">
        <v>7.9819999999999993</v>
      </c>
      <c r="AB64" s="247"/>
      <c r="AC64" s="247"/>
    </row>
    <row r="65" spans="1:29" x14ac:dyDescent="0.25">
      <c r="A65" s="83"/>
      <c r="B65" s="83"/>
      <c r="C65" s="83"/>
      <c r="D65" s="83"/>
      <c r="E65" s="83"/>
      <c r="F65" s="83"/>
      <c r="H65" s="83"/>
      <c r="I65" s="83"/>
      <c r="J65" s="83"/>
      <c r="K65" s="83"/>
      <c r="L65" s="83"/>
      <c r="N65" s="83"/>
      <c r="O65" s="83"/>
      <c r="T65" s="244">
        <v>47543</v>
      </c>
      <c r="U65" s="245">
        <v>3.569</v>
      </c>
      <c r="V65">
        <v>3.9470000000000001</v>
      </c>
      <c r="W65">
        <v>3.1440000000000001</v>
      </c>
      <c r="X65">
        <v>3.5009999999999999</v>
      </c>
      <c r="Y65">
        <v>3.4710000000000001</v>
      </c>
      <c r="Z65">
        <v>5.0440000000000005</v>
      </c>
      <c r="AB65" s="247"/>
      <c r="AC65" s="247"/>
    </row>
    <row r="66" spans="1:29" x14ac:dyDescent="0.25">
      <c r="A66" s="83"/>
      <c r="B66" s="83"/>
      <c r="C66" s="83"/>
      <c r="D66" s="83"/>
      <c r="E66" s="83"/>
      <c r="F66" s="83"/>
      <c r="H66" s="83"/>
      <c r="I66" s="83"/>
      <c r="J66" s="83"/>
      <c r="K66" s="83"/>
      <c r="L66" s="83"/>
      <c r="N66" s="83"/>
      <c r="O66" s="83"/>
      <c r="T66" s="244">
        <v>47574</v>
      </c>
      <c r="U66" s="245">
        <v>3.0659999999999998</v>
      </c>
      <c r="V66">
        <v>2.6279999999999997</v>
      </c>
      <c r="W66">
        <v>2.5009999999999999</v>
      </c>
      <c r="X66">
        <v>2.5409999999999999</v>
      </c>
      <c r="Y66">
        <v>2.5880000000000001</v>
      </c>
      <c r="Z66">
        <v>2.7109999999999999</v>
      </c>
      <c r="AB66" s="247"/>
      <c r="AC66" s="247"/>
    </row>
    <row r="67" spans="1:29" x14ac:dyDescent="0.25">
      <c r="A67" s="83"/>
      <c r="B67" s="83"/>
      <c r="C67" s="83"/>
      <c r="D67" s="83"/>
      <c r="E67" s="83"/>
      <c r="F67" s="83"/>
      <c r="H67" s="83"/>
      <c r="I67" s="83"/>
      <c r="J67" s="83"/>
      <c r="K67" s="83"/>
      <c r="L67" s="83"/>
      <c r="N67" s="83"/>
      <c r="O67" s="83"/>
      <c r="T67" s="244">
        <v>47604</v>
      </c>
      <c r="U67" s="245">
        <v>3.036</v>
      </c>
      <c r="V67">
        <v>2.5510000000000002</v>
      </c>
      <c r="W67">
        <v>2.4540000000000002</v>
      </c>
      <c r="X67">
        <v>2.3959999999999999</v>
      </c>
      <c r="Y67">
        <v>2.2640000000000002</v>
      </c>
      <c r="Z67">
        <v>2.371</v>
      </c>
      <c r="AB67" s="247"/>
      <c r="AC67" s="247"/>
    </row>
    <row r="68" spans="1:29" x14ac:dyDescent="0.25">
      <c r="A68" s="83"/>
      <c r="B68" s="83"/>
      <c r="C68" s="83"/>
      <c r="D68" s="83"/>
      <c r="E68" s="83"/>
      <c r="F68" s="83"/>
      <c r="H68" s="83"/>
      <c r="I68" s="83"/>
      <c r="J68" s="83"/>
      <c r="K68" s="83"/>
      <c r="L68" s="83"/>
      <c r="N68" s="83"/>
      <c r="O68" s="83"/>
      <c r="T68" s="244">
        <v>47635</v>
      </c>
      <c r="U68" s="245">
        <v>3.1720000000000002</v>
      </c>
      <c r="V68">
        <v>2.6920000000000002</v>
      </c>
      <c r="W68">
        <v>2.552</v>
      </c>
      <c r="X68">
        <v>2.5170000000000003</v>
      </c>
      <c r="Y68">
        <v>2.4720000000000004</v>
      </c>
      <c r="Z68">
        <v>2.58</v>
      </c>
      <c r="AB68" s="247"/>
      <c r="AC68" s="247"/>
    </row>
    <row r="69" spans="1:29" x14ac:dyDescent="0.25">
      <c r="A69" s="83"/>
      <c r="B69" s="83"/>
      <c r="C69" s="83"/>
      <c r="D69" s="83"/>
      <c r="E69" s="83"/>
      <c r="F69" s="83"/>
      <c r="H69" s="83"/>
      <c r="I69" s="83"/>
      <c r="J69" s="83"/>
      <c r="K69" s="83"/>
      <c r="L69" s="83"/>
      <c r="N69" s="83"/>
      <c r="O69" s="83"/>
      <c r="T69" s="244">
        <v>47665</v>
      </c>
      <c r="U69" s="245">
        <v>3.323</v>
      </c>
      <c r="V69">
        <v>2.9079999999999999</v>
      </c>
      <c r="W69">
        <v>2.698</v>
      </c>
      <c r="X69">
        <v>2.548</v>
      </c>
      <c r="Y69">
        <v>2.5409999999999999</v>
      </c>
      <c r="Z69">
        <v>2.7629999999999999</v>
      </c>
      <c r="AB69" s="247"/>
      <c r="AC69" s="247"/>
    </row>
    <row r="70" spans="1:29" x14ac:dyDescent="0.25">
      <c r="A70" s="83"/>
      <c r="B70" s="83"/>
      <c r="C70" s="83"/>
      <c r="D70" s="83"/>
      <c r="E70" s="83"/>
      <c r="F70" s="83"/>
      <c r="H70" s="83"/>
      <c r="I70" s="83"/>
      <c r="J70" s="83"/>
      <c r="K70" s="83"/>
      <c r="L70" s="83"/>
      <c r="N70" s="83"/>
      <c r="O70" s="83"/>
      <c r="T70" s="244">
        <v>47696</v>
      </c>
      <c r="U70" s="245">
        <v>3.39</v>
      </c>
      <c r="V70">
        <v>2.97</v>
      </c>
      <c r="W70">
        <v>2.7250000000000001</v>
      </c>
      <c r="X70">
        <v>2.59</v>
      </c>
      <c r="Y70">
        <v>2.6180000000000003</v>
      </c>
      <c r="Z70">
        <v>2.8200000000000003</v>
      </c>
      <c r="AB70" s="247"/>
      <c r="AC70" s="247"/>
    </row>
    <row r="71" spans="1:29" x14ac:dyDescent="0.25">
      <c r="A71" s="83"/>
      <c r="B71" s="83"/>
      <c r="C71" s="83"/>
      <c r="D71" s="83"/>
      <c r="E71" s="83"/>
      <c r="F71" s="83"/>
      <c r="H71" s="83"/>
      <c r="I71" s="83"/>
      <c r="J71" s="83"/>
      <c r="K71" s="83"/>
      <c r="L71" s="83"/>
      <c r="N71" s="83"/>
      <c r="O71" s="83"/>
      <c r="T71" s="244">
        <v>47727</v>
      </c>
      <c r="U71" s="245">
        <v>3.3660000000000001</v>
      </c>
      <c r="V71">
        <v>2.9359999999999999</v>
      </c>
      <c r="W71">
        <v>2.6580000000000004</v>
      </c>
      <c r="X71">
        <v>2.3780000000000001</v>
      </c>
      <c r="Y71">
        <v>2.448</v>
      </c>
      <c r="Z71">
        <v>2.2080000000000002</v>
      </c>
      <c r="AB71" s="247"/>
      <c r="AC71" s="247"/>
    </row>
    <row r="72" spans="1:29" x14ac:dyDescent="0.25">
      <c r="A72" s="83"/>
      <c r="B72" s="83"/>
      <c r="C72" s="83"/>
      <c r="D72" s="83"/>
      <c r="E72" s="83"/>
      <c r="F72" s="83"/>
      <c r="H72" s="83"/>
      <c r="I72" s="83"/>
      <c r="J72" s="83"/>
      <c r="K72" s="83"/>
      <c r="L72" s="83"/>
      <c r="N72" s="83"/>
      <c r="O72" s="83"/>
      <c r="T72" s="244">
        <v>47757</v>
      </c>
      <c r="U72" s="245">
        <v>3.4409999999999998</v>
      </c>
      <c r="V72">
        <v>3.0129999999999999</v>
      </c>
      <c r="W72">
        <v>2.7929999999999997</v>
      </c>
      <c r="X72">
        <v>2.5309999999999997</v>
      </c>
      <c r="Y72">
        <v>2.5359999999999996</v>
      </c>
      <c r="Z72">
        <v>2.1689999999999996</v>
      </c>
      <c r="AB72" s="247"/>
      <c r="AC72" s="247"/>
    </row>
    <row r="73" spans="1:29" x14ac:dyDescent="0.25">
      <c r="A73" s="83"/>
      <c r="B73" s="83"/>
      <c r="C73" s="83"/>
      <c r="D73" s="83"/>
      <c r="E73" s="83"/>
      <c r="F73" s="83"/>
      <c r="H73" s="83"/>
      <c r="I73" s="83"/>
      <c r="J73" s="83"/>
      <c r="K73" s="83"/>
      <c r="L73" s="83"/>
      <c r="N73" s="83"/>
      <c r="O73" s="83"/>
      <c r="T73" s="244">
        <v>47788</v>
      </c>
      <c r="U73" s="245">
        <v>3.6320000000000001</v>
      </c>
      <c r="V73">
        <v>3.19</v>
      </c>
      <c r="W73">
        <v>3.077</v>
      </c>
      <c r="X73">
        <v>3.54</v>
      </c>
      <c r="Y73">
        <v>2.8570000000000002</v>
      </c>
      <c r="Z73">
        <v>4.8220000000000001</v>
      </c>
      <c r="AB73" s="247"/>
      <c r="AC73" s="247"/>
    </row>
    <row r="74" spans="1:29" x14ac:dyDescent="0.25">
      <c r="A74" s="83"/>
      <c r="B74" s="83"/>
      <c r="C74" s="83"/>
      <c r="D74" s="83"/>
      <c r="E74" s="83"/>
      <c r="F74" s="83"/>
      <c r="H74" s="83"/>
      <c r="I74" s="83"/>
      <c r="J74" s="83"/>
      <c r="K74" s="83"/>
      <c r="L74" s="83"/>
      <c r="N74" s="83"/>
      <c r="O74" s="83"/>
      <c r="T74" s="244">
        <v>47818</v>
      </c>
      <c r="U74" s="245">
        <v>4.0640000000000001</v>
      </c>
      <c r="V74">
        <v>3.3820000000000001</v>
      </c>
      <c r="W74">
        <v>3.4889999999999999</v>
      </c>
      <c r="X74">
        <v>4.7519999999999998</v>
      </c>
      <c r="Y74">
        <v>4.5590000000000002</v>
      </c>
      <c r="Z74">
        <v>5.5940000000000003</v>
      </c>
      <c r="AB74" s="247"/>
      <c r="AC74" s="247"/>
    </row>
    <row r="75" spans="1:29" x14ac:dyDescent="0.25">
      <c r="A75" s="83"/>
      <c r="B75" s="83"/>
      <c r="C75" s="83"/>
      <c r="D75" s="83"/>
      <c r="E75" s="83"/>
      <c r="F75" s="83"/>
      <c r="H75" s="83"/>
      <c r="I75" s="83"/>
      <c r="J75" s="83"/>
      <c r="K75" s="83"/>
      <c r="L75" s="83"/>
      <c r="N75" s="83"/>
      <c r="O75" s="83"/>
      <c r="T75" s="244">
        <v>47849</v>
      </c>
      <c r="U75" s="245">
        <v>4.3339999999999996</v>
      </c>
      <c r="V75">
        <v>4.4789999999999992</v>
      </c>
      <c r="W75">
        <v>3.9289999999999994</v>
      </c>
      <c r="X75">
        <v>6.7159999999999993</v>
      </c>
      <c r="Y75">
        <v>6.9260000000000002</v>
      </c>
      <c r="Z75">
        <v>7.3339999999999996</v>
      </c>
      <c r="AB75" s="247"/>
      <c r="AC75" s="247"/>
    </row>
    <row r="76" spans="1:29" x14ac:dyDescent="0.25">
      <c r="T76" s="244">
        <v>47880</v>
      </c>
      <c r="U76" s="245">
        <v>4.0640000000000001</v>
      </c>
      <c r="V76">
        <v>4.194</v>
      </c>
      <c r="W76">
        <v>3.6819999999999999</v>
      </c>
      <c r="X76">
        <v>6.1219999999999999</v>
      </c>
      <c r="Y76">
        <v>6.4119999999999999</v>
      </c>
      <c r="Z76">
        <v>7.6619999999999999</v>
      </c>
      <c r="AB76" s="247"/>
      <c r="AC76" s="247"/>
    </row>
    <row r="77" spans="1:29" x14ac:dyDescent="0.25">
      <c r="T77" s="244">
        <v>47908</v>
      </c>
      <c r="U77" s="245">
        <v>3.4289999999999998</v>
      </c>
      <c r="V77">
        <v>3.8069999999999999</v>
      </c>
      <c r="W77">
        <v>3.0169999999999999</v>
      </c>
      <c r="X77">
        <v>3.2269999999999999</v>
      </c>
      <c r="Y77">
        <v>3.2939999999999996</v>
      </c>
      <c r="Z77">
        <v>4.7290000000000001</v>
      </c>
      <c r="AB77" s="247"/>
      <c r="AC77" s="247"/>
    </row>
    <row r="78" spans="1:29" x14ac:dyDescent="0.25">
      <c r="T78" s="244">
        <v>47939</v>
      </c>
      <c r="U78" s="245">
        <v>3.032</v>
      </c>
      <c r="V78">
        <v>2.597</v>
      </c>
      <c r="W78">
        <v>2.4670000000000001</v>
      </c>
      <c r="X78">
        <v>2.5339999999999998</v>
      </c>
      <c r="Y78">
        <v>2.5840000000000001</v>
      </c>
      <c r="Z78">
        <v>2.6840000000000002</v>
      </c>
      <c r="AB78" s="247"/>
      <c r="AC78" s="247"/>
    </row>
    <row r="79" spans="1:29" x14ac:dyDescent="0.25">
      <c r="T79" s="244">
        <v>47969</v>
      </c>
      <c r="U79" s="245">
        <v>3.05</v>
      </c>
      <c r="V79">
        <v>2.5679999999999996</v>
      </c>
      <c r="W79">
        <v>2.468</v>
      </c>
      <c r="X79">
        <v>2.4419999999999997</v>
      </c>
      <c r="Y79">
        <v>2.3199999999999998</v>
      </c>
      <c r="Z79">
        <v>2.3679999999999999</v>
      </c>
      <c r="AB79" s="247"/>
      <c r="AC79" s="247"/>
    </row>
    <row r="80" spans="1:29" x14ac:dyDescent="0.25">
      <c r="T80" s="244">
        <v>48000</v>
      </c>
      <c r="U80" s="245">
        <v>3.1850000000000001</v>
      </c>
      <c r="V80">
        <v>2.7069999999999999</v>
      </c>
      <c r="W80">
        <v>2.5649999999999999</v>
      </c>
      <c r="X80">
        <v>2.5569999999999999</v>
      </c>
      <c r="Y80">
        <v>2.5150000000000001</v>
      </c>
      <c r="Z80">
        <v>2.585</v>
      </c>
      <c r="AB80" s="247"/>
      <c r="AC80" s="247"/>
    </row>
    <row r="81" spans="20:29" x14ac:dyDescent="0.25">
      <c r="T81" s="244">
        <v>48030</v>
      </c>
      <c r="U81" s="245">
        <v>3.331</v>
      </c>
      <c r="V81">
        <v>2.919</v>
      </c>
      <c r="W81">
        <v>2.706</v>
      </c>
      <c r="X81">
        <v>2.5609999999999999</v>
      </c>
      <c r="Y81">
        <v>2.556</v>
      </c>
      <c r="Z81">
        <v>2.7530000000000001</v>
      </c>
      <c r="AB81" s="247"/>
      <c r="AC81" s="247"/>
    </row>
    <row r="82" spans="20:29" x14ac:dyDescent="0.25">
      <c r="T82" s="244">
        <v>48061</v>
      </c>
      <c r="U82" s="245">
        <v>3.359</v>
      </c>
      <c r="V82">
        <v>2.9409999999999998</v>
      </c>
      <c r="W82">
        <v>2.694</v>
      </c>
      <c r="X82">
        <v>2.5640000000000001</v>
      </c>
      <c r="Y82">
        <v>2.5939999999999999</v>
      </c>
      <c r="Z82">
        <v>2.7709999999999999</v>
      </c>
      <c r="AB82" s="247"/>
      <c r="AC82" s="247"/>
    </row>
    <row r="83" spans="20:29" x14ac:dyDescent="0.25">
      <c r="T83" s="244">
        <v>48092</v>
      </c>
      <c r="U83" s="245">
        <v>3.3250000000000002</v>
      </c>
      <c r="V83">
        <v>2.8970000000000002</v>
      </c>
      <c r="W83">
        <v>2.617</v>
      </c>
      <c r="X83">
        <v>2.3450000000000002</v>
      </c>
      <c r="Y83">
        <v>2.407</v>
      </c>
      <c r="Z83">
        <v>2.133</v>
      </c>
      <c r="AB83" s="247"/>
      <c r="AC83" s="247"/>
    </row>
    <row r="84" spans="20:29" x14ac:dyDescent="0.25">
      <c r="T84" s="244">
        <v>48122</v>
      </c>
      <c r="U84" s="245">
        <v>3.3879999999999999</v>
      </c>
      <c r="V84">
        <v>2.9630000000000001</v>
      </c>
      <c r="W84">
        <v>2.7399999999999998</v>
      </c>
      <c r="X84">
        <v>2.4829999999999997</v>
      </c>
      <c r="Y84">
        <v>2.4899999999999998</v>
      </c>
      <c r="Z84">
        <v>2.073</v>
      </c>
      <c r="AB84" s="247"/>
      <c r="AC84" s="247"/>
    </row>
    <row r="85" spans="20:29" x14ac:dyDescent="0.25">
      <c r="T85" s="244">
        <v>48153</v>
      </c>
      <c r="U85" s="245">
        <v>3.581</v>
      </c>
      <c r="V85">
        <v>3.2210000000000001</v>
      </c>
      <c r="W85">
        <v>3.2690000000000001</v>
      </c>
      <c r="X85">
        <v>3.5110000000000001</v>
      </c>
      <c r="Y85">
        <v>2.8860000000000001</v>
      </c>
      <c r="Z85">
        <v>4.8390000000000004</v>
      </c>
      <c r="AB85" s="247"/>
      <c r="AC85" s="247"/>
    </row>
    <row r="86" spans="20:29" x14ac:dyDescent="0.25">
      <c r="T86" s="244">
        <v>48183</v>
      </c>
      <c r="U86" s="245">
        <v>4.0279999999999996</v>
      </c>
      <c r="V86">
        <v>3.4279999999999995</v>
      </c>
      <c r="W86">
        <v>3.6959999999999997</v>
      </c>
      <c r="X86">
        <v>4.75</v>
      </c>
      <c r="Y86">
        <v>4.59</v>
      </c>
      <c r="Z86">
        <v>5.427999999999999</v>
      </c>
      <c r="AB86" s="247"/>
      <c r="AC86" s="247"/>
    </row>
    <row r="87" spans="20:29" x14ac:dyDescent="0.25">
      <c r="T87" s="244">
        <v>48214</v>
      </c>
      <c r="U87" s="245">
        <v>4.298</v>
      </c>
      <c r="V87">
        <v>4.298</v>
      </c>
      <c r="W87">
        <v>4.298</v>
      </c>
      <c r="X87">
        <v>6.718</v>
      </c>
      <c r="Y87">
        <v>6.96</v>
      </c>
      <c r="Z87">
        <v>7.02</v>
      </c>
      <c r="AB87" s="247"/>
      <c r="AC87" s="247"/>
    </row>
    <row r="88" spans="20:29" x14ac:dyDescent="0.25">
      <c r="T88" s="244">
        <v>48245</v>
      </c>
      <c r="U88" s="245">
        <v>4.0279999999999996</v>
      </c>
      <c r="V88">
        <v>4.0279999999999996</v>
      </c>
      <c r="W88">
        <v>4.0279999999999996</v>
      </c>
      <c r="X88">
        <v>6.0459999999999994</v>
      </c>
      <c r="Y88">
        <v>6.4429999999999996</v>
      </c>
      <c r="Z88">
        <v>7.4759999999999991</v>
      </c>
      <c r="AB88" s="247"/>
      <c r="AC88" s="247"/>
    </row>
    <row r="89" spans="20:29" x14ac:dyDescent="0.25">
      <c r="T89" s="244">
        <v>48274</v>
      </c>
      <c r="U89" s="245">
        <v>3.363</v>
      </c>
      <c r="V89">
        <v>3.363</v>
      </c>
      <c r="W89">
        <v>3.363</v>
      </c>
      <c r="X89">
        <v>3.1280000000000001</v>
      </c>
      <c r="Y89">
        <v>3.298</v>
      </c>
      <c r="Z89">
        <v>4.5030000000000001</v>
      </c>
      <c r="AB89" s="247"/>
      <c r="AC89" s="247"/>
    </row>
    <row r="90" spans="20:29" x14ac:dyDescent="0.25">
      <c r="T90" s="244">
        <v>48305</v>
      </c>
      <c r="U90" s="245">
        <v>2.883</v>
      </c>
      <c r="V90">
        <v>2.883</v>
      </c>
      <c r="W90">
        <v>2.883</v>
      </c>
      <c r="X90">
        <v>2.371</v>
      </c>
      <c r="Y90">
        <v>2.3449999999999998</v>
      </c>
      <c r="Z90">
        <v>2.548</v>
      </c>
      <c r="AB90" s="247"/>
      <c r="AC90" s="247"/>
    </row>
    <row r="91" spans="20:29" x14ac:dyDescent="0.25">
      <c r="T91" s="244">
        <v>48335</v>
      </c>
      <c r="U91" s="245">
        <v>2.863</v>
      </c>
      <c r="V91">
        <v>2.863</v>
      </c>
      <c r="W91">
        <v>2.863</v>
      </c>
      <c r="X91">
        <v>2.2349999999999999</v>
      </c>
      <c r="Y91">
        <v>2.0329999999999999</v>
      </c>
      <c r="Z91">
        <v>2.1680000000000001</v>
      </c>
      <c r="AB91" s="247"/>
      <c r="AC91" s="247"/>
    </row>
    <row r="92" spans="20:29" x14ac:dyDescent="0.25">
      <c r="T92" s="244">
        <v>48366</v>
      </c>
      <c r="U92" s="245">
        <v>3.0129999999999999</v>
      </c>
      <c r="V92">
        <v>3.0129999999999999</v>
      </c>
      <c r="W92">
        <v>3.0129999999999999</v>
      </c>
      <c r="X92">
        <v>2.371</v>
      </c>
      <c r="Y92">
        <v>2.2530000000000001</v>
      </c>
      <c r="Z92">
        <v>2.411</v>
      </c>
      <c r="AB92" s="247"/>
      <c r="AC92" s="247"/>
    </row>
    <row r="93" spans="20:29" x14ac:dyDescent="0.25">
      <c r="T93" s="244">
        <v>48396</v>
      </c>
      <c r="U93" s="245">
        <v>3.173</v>
      </c>
      <c r="V93">
        <v>3.173</v>
      </c>
      <c r="W93">
        <v>3.173</v>
      </c>
      <c r="X93">
        <v>2.423</v>
      </c>
      <c r="Y93">
        <v>2.3479999999999999</v>
      </c>
      <c r="Z93">
        <v>2.5830000000000002</v>
      </c>
      <c r="AB93" s="247"/>
      <c r="AC93" s="247"/>
    </row>
    <row r="94" spans="20:29" x14ac:dyDescent="0.25">
      <c r="T94" s="244">
        <v>48427</v>
      </c>
      <c r="U94" s="245">
        <v>3.2050000000000001</v>
      </c>
      <c r="V94">
        <v>3.2050000000000001</v>
      </c>
      <c r="W94">
        <v>3.2050000000000001</v>
      </c>
      <c r="X94">
        <v>2.4300000000000002</v>
      </c>
      <c r="Y94">
        <v>2.39</v>
      </c>
      <c r="Z94">
        <v>2.605</v>
      </c>
      <c r="AB94" s="247"/>
      <c r="AC94" s="247"/>
    </row>
    <row r="95" spans="20:29" x14ac:dyDescent="0.25">
      <c r="T95" s="244">
        <v>48458</v>
      </c>
      <c r="U95" s="245">
        <v>3.18</v>
      </c>
      <c r="V95">
        <v>3.18</v>
      </c>
      <c r="W95">
        <v>3.18</v>
      </c>
      <c r="X95">
        <v>2.218</v>
      </c>
      <c r="Y95">
        <v>2.218</v>
      </c>
      <c r="Z95">
        <v>1.9580000000000002</v>
      </c>
      <c r="AB95" s="247"/>
      <c r="AC95" s="247"/>
    </row>
    <row r="96" spans="20:29" x14ac:dyDescent="0.25">
      <c r="T96" s="244">
        <v>48488</v>
      </c>
      <c r="U96" s="245">
        <v>3.2549999999999999</v>
      </c>
      <c r="V96">
        <v>3.2549999999999999</v>
      </c>
      <c r="W96">
        <v>3.2549999999999999</v>
      </c>
      <c r="X96">
        <v>2.37</v>
      </c>
      <c r="Y96">
        <v>2.3069999999999999</v>
      </c>
      <c r="Z96">
        <v>1.9029999999999998</v>
      </c>
      <c r="AB96" s="247"/>
      <c r="AC96" s="247"/>
    </row>
    <row r="97" spans="20:29" x14ac:dyDescent="0.25">
      <c r="T97" s="244">
        <v>48519</v>
      </c>
      <c r="U97" s="245">
        <v>3.4849999999999999</v>
      </c>
      <c r="V97">
        <v>3.4849999999999999</v>
      </c>
      <c r="W97">
        <v>3.4849999999999999</v>
      </c>
      <c r="X97">
        <v>3.117</v>
      </c>
      <c r="Y97">
        <v>2.4699999999999998</v>
      </c>
      <c r="Z97">
        <v>4.7829999999999995</v>
      </c>
      <c r="AB97" s="247"/>
      <c r="AC97" s="247"/>
    </row>
    <row r="98" spans="20:29" x14ac:dyDescent="0.25">
      <c r="T98" s="244">
        <v>48549</v>
      </c>
      <c r="U98" s="245">
        <v>3.915</v>
      </c>
      <c r="V98">
        <v>3.915</v>
      </c>
      <c r="W98">
        <v>3.915</v>
      </c>
      <c r="X98">
        <v>4.327</v>
      </c>
      <c r="Y98">
        <v>4.1450000000000005</v>
      </c>
      <c r="Z98">
        <v>5.157</v>
      </c>
      <c r="AB98" s="247"/>
      <c r="AC98" s="247"/>
    </row>
    <row r="99" spans="20:29" x14ac:dyDescent="0.25">
      <c r="T99" s="244">
        <v>48580</v>
      </c>
      <c r="U99" s="245">
        <v>4.165</v>
      </c>
      <c r="V99">
        <v>4.165</v>
      </c>
      <c r="W99">
        <v>4.165</v>
      </c>
      <c r="X99">
        <v>6.625</v>
      </c>
      <c r="Y99">
        <v>6.4930000000000003</v>
      </c>
      <c r="Z99">
        <v>6.5830000000000002</v>
      </c>
      <c r="AB99" s="247"/>
      <c r="AC99" s="247"/>
    </row>
    <row r="100" spans="20:29" x14ac:dyDescent="0.25">
      <c r="T100" s="244">
        <v>48611</v>
      </c>
      <c r="U100" s="245">
        <v>3.9</v>
      </c>
      <c r="V100">
        <v>3.9</v>
      </c>
      <c r="W100">
        <v>3.9</v>
      </c>
      <c r="X100">
        <v>5.88</v>
      </c>
      <c r="Y100">
        <v>6.0019999999999998</v>
      </c>
      <c r="Z100">
        <v>7.17</v>
      </c>
      <c r="AB100" s="247"/>
      <c r="AC100" s="247"/>
    </row>
    <row r="101" spans="20:29" x14ac:dyDescent="0.25">
      <c r="T101" s="244">
        <v>48639</v>
      </c>
      <c r="U101" s="245">
        <v>3.28</v>
      </c>
      <c r="V101">
        <v>3.28</v>
      </c>
      <c r="W101">
        <v>3.28</v>
      </c>
      <c r="X101">
        <v>3.0149999999999997</v>
      </c>
      <c r="Y101">
        <v>2.8779999999999997</v>
      </c>
      <c r="Z101">
        <v>4.2319999999999993</v>
      </c>
      <c r="AB101" s="247"/>
      <c r="AC101" s="247"/>
    </row>
    <row r="102" spans="20:29" x14ac:dyDescent="0.25">
      <c r="T102" s="244">
        <v>48670</v>
      </c>
      <c r="U102" s="245">
        <v>2.83</v>
      </c>
      <c r="V102">
        <v>2.83</v>
      </c>
      <c r="W102">
        <v>2.83</v>
      </c>
      <c r="X102">
        <v>2.258</v>
      </c>
      <c r="Y102">
        <v>2.2200000000000002</v>
      </c>
      <c r="Z102">
        <v>2.508</v>
      </c>
      <c r="AB102" s="247"/>
      <c r="AC102" s="247"/>
    </row>
    <row r="103" spans="20:29" x14ac:dyDescent="0.25">
      <c r="T103" s="244">
        <v>48700</v>
      </c>
      <c r="U103" s="245">
        <v>2.86</v>
      </c>
      <c r="V103">
        <v>2.86</v>
      </c>
      <c r="W103">
        <v>2.86</v>
      </c>
      <c r="X103">
        <v>2.1719999999999997</v>
      </c>
      <c r="Y103">
        <v>1.9549999999999998</v>
      </c>
      <c r="Z103">
        <v>2.1520000000000001</v>
      </c>
      <c r="AB103" s="247"/>
      <c r="AC103" s="247"/>
    </row>
    <row r="104" spans="20:29" x14ac:dyDescent="0.25">
      <c r="T104" s="244">
        <v>48731</v>
      </c>
      <c r="U104" s="245">
        <v>3.0019999999999998</v>
      </c>
      <c r="V104">
        <v>3.0019999999999998</v>
      </c>
      <c r="W104">
        <v>3.0019999999999998</v>
      </c>
      <c r="X104">
        <v>2.2999999999999998</v>
      </c>
      <c r="Y104">
        <v>2.17</v>
      </c>
      <c r="Z104">
        <v>2.3969999999999998</v>
      </c>
      <c r="AB104" s="247"/>
      <c r="AC104" s="247"/>
    </row>
    <row r="105" spans="20:29" x14ac:dyDescent="0.25">
      <c r="T105" s="244">
        <v>48761</v>
      </c>
      <c r="U105" s="245">
        <v>3.1669999999999998</v>
      </c>
      <c r="V105">
        <v>3.1669999999999998</v>
      </c>
      <c r="W105">
        <v>3.1669999999999998</v>
      </c>
      <c r="X105">
        <v>2.4689999999999999</v>
      </c>
      <c r="Y105">
        <v>2.3789999999999996</v>
      </c>
      <c r="Z105">
        <v>2.5649999999999999</v>
      </c>
      <c r="AB105" s="247"/>
      <c r="AC105" s="247"/>
    </row>
    <row r="106" spans="20:29" x14ac:dyDescent="0.25">
      <c r="T106" s="244">
        <v>48792</v>
      </c>
      <c r="U106" s="245">
        <v>3.2069999999999999</v>
      </c>
      <c r="V106">
        <v>3.2069999999999999</v>
      </c>
      <c r="W106">
        <v>3.2069999999999999</v>
      </c>
      <c r="X106">
        <v>2.4849999999999999</v>
      </c>
      <c r="Y106">
        <v>2.4289999999999998</v>
      </c>
      <c r="Z106">
        <v>2.5949999999999998</v>
      </c>
      <c r="AB106" s="247"/>
      <c r="AC106" s="247"/>
    </row>
    <row r="107" spans="20:29" x14ac:dyDescent="0.25">
      <c r="T107" s="244">
        <v>48823</v>
      </c>
      <c r="U107" s="245">
        <v>3.1819999999999999</v>
      </c>
      <c r="V107">
        <v>3.1819999999999999</v>
      </c>
      <c r="W107">
        <v>3.1819999999999999</v>
      </c>
      <c r="X107">
        <v>2.27</v>
      </c>
      <c r="Y107">
        <v>2.2569999999999997</v>
      </c>
      <c r="Z107">
        <v>1.93</v>
      </c>
      <c r="AB107" s="247"/>
      <c r="AC107" s="247"/>
    </row>
    <row r="108" spans="20:29" x14ac:dyDescent="0.25">
      <c r="T108" s="244">
        <v>48853</v>
      </c>
      <c r="U108" s="245">
        <v>3.2280000000000002</v>
      </c>
      <c r="V108">
        <v>3.2280000000000002</v>
      </c>
      <c r="W108">
        <v>3.2280000000000002</v>
      </c>
      <c r="X108">
        <v>2.3960000000000004</v>
      </c>
      <c r="Y108">
        <v>2.3180000000000001</v>
      </c>
      <c r="Z108">
        <v>1.8380000000000003</v>
      </c>
      <c r="AB108" s="247"/>
      <c r="AC108" s="247"/>
    </row>
    <row r="109" spans="20:29" x14ac:dyDescent="0.25">
      <c r="T109" s="244">
        <v>48884</v>
      </c>
      <c r="U109" s="245">
        <v>3.488</v>
      </c>
      <c r="V109">
        <v>3.488</v>
      </c>
      <c r="W109">
        <v>3.488</v>
      </c>
      <c r="X109">
        <v>4.1859999999999999</v>
      </c>
      <c r="Y109">
        <v>2.5300000000000002</v>
      </c>
      <c r="Z109">
        <v>4.2160000000000002</v>
      </c>
      <c r="AB109" s="247"/>
      <c r="AC109" s="247"/>
    </row>
    <row r="110" spans="20:29" x14ac:dyDescent="0.25">
      <c r="T110" s="244">
        <v>48914</v>
      </c>
      <c r="U110" s="245">
        <v>3.8879999999999999</v>
      </c>
      <c r="V110">
        <v>3.8879999999999999</v>
      </c>
      <c r="W110">
        <v>3.8879999999999999</v>
      </c>
      <c r="X110">
        <v>5.3659999999999997</v>
      </c>
      <c r="Y110">
        <v>4.1760000000000002</v>
      </c>
      <c r="Z110">
        <v>4.5659999999999998</v>
      </c>
      <c r="AB110" s="247"/>
      <c r="AC110" s="247"/>
    </row>
    <row r="111" spans="20:29" x14ac:dyDescent="0.25">
      <c r="T111" s="244">
        <v>48945</v>
      </c>
      <c r="U111" s="245">
        <v>4.1429999999999998</v>
      </c>
      <c r="V111">
        <v>4.1429999999999998</v>
      </c>
      <c r="W111">
        <v>4.1429999999999998</v>
      </c>
      <c r="X111">
        <v>6.6749999999999998</v>
      </c>
      <c r="Y111">
        <v>6.5309999999999997</v>
      </c>
      <c r="Z111">
        <v>6.1529999999999996</v>
      </c>
      <c r="AB111" s="247"/>
      <c r="AC111" s="247"/>
    </row>
    <row r="112" spans="20:29" x14ac:dyDescent="0.25">
      <c r="T112" s="244">
        <v>48976</v>
      </c>
      <c r="U112" s="245">
        <v>3.903</v>
      </c>
      <c r="V112">
        <v>3.903</v>
      </c>
      <c r="W112">
        <v>3.903</v>
      </c>
      <c r="X112">
        <v>5.8780000000000001</v>
      </c>
      <c r="Y112">
        <v>6.0630000000000006</v>
      </c>
      <c r="Z112">
        <v>6.8930000000000007</v>
      </c>
      <c r="AB112" s="247"/>
      <c r="AC112" s="247"/>
    </row>
    <row r="113" spans="20:33" x14ac:dyDescent="0.25">
      <c r="T113" s="244">
        <v>49004</v>
      </c>
      <c r="U113" s="245">
        <v>3.3029999999999999</v>
      </c>
      <c r="V113">
        <v>3.3029999999999999</v>
      </c>
      <c r="W113">
        <v>3.3029999999999999</v>
      </c>
      <c r="X113">
        <v>3.0409999999999999</v>
      </c>
      <c r="Y113">
        <v>2.9630000000000001</v>
      </c>
      <c r="Z113">
        <v>3.9649999999999999</v>
      </c>
      <c r="AB113" s="247"/>
      <c r="AC113" s="247"/>
    </row>
    <row r="114" spans="20:33" x14ac:dyDescent="0.25">
      <c r="T114" s="244">
        <v>49035</v>
      </c>
      <c r="U114" s="245">
        <v>2.903</v>
      </c>
      <c r="V114">
        <v>2.903</v>
      </c>
      <c r="W114">
        <v>2.903</v>
      </c>
      <c r="X114">
        <v>2.3479999999999999</v>
      </c>
      <c r="Y114">
        <v>2.4350000000000001</v>
      </c>
      <c r="Z114">
        <v>2.5950000000000002</v>
      </c>
      <c r="AB114" s="247"/>
      <c r="AC114" s="247"/>
    </row>
    <row r="115" spans="20:33" x14ac:dyDescent="0.25">
      <c r="T115" s="244">
        <v>49065</v>
      </c>
      <c r="U115" s="245">
        <v>2.9329999999999998</v>
      </c>
      <c r="V115">
        <v>2.9329999999999998</v>
      </c>
      <c r="W115">
        <v>2.9329999999999998</v>
      </c>
      <c r="X115">
        <v>2.2629999999999999</v>
      </c>
      <c r="Y115">
        <v>2.165</v>
      </c>
      <c r="Z115">
        <v>2.2149999999999999</v>
      </c>
      <c r="AB115" s="247"/>
      <c r="AC115" s="247"/>
    </row>
    <row r="116" spans="20:33" x14ac:dyDescent="0.25">
      <c r="T116" s="244">
        <v>49096</v>
      </c>
      <c r="U116" s="245">
        <v>3.0630000000000002</v>
      </c>
      <c r="V116">
        <v>3.0630000000000002</v>
      </c>
      <c r="W116">
        <v>3.0630000000000002</v>
      </c>
      <c r="X116">
        <v>2.3780000000000001</v>
      </c>
      <c r="Y116">
        <v>2.3730000000000002</v>
      </c>
      <c r="Z116">
        <v>2.4580000000000002</v>
      </c>
      <c r="AB116" s="247"/>
      <c r="AC116" s="247"/>
    </row>
    <row r="117" spans="20:33" x14ac:dyDescent="0.25">
      <c r="T117" s="244">
        <v>49126</v>
      </c>
      <c r="U117" s="245">
        <v>3.2080000000000002</v>
      </c>
      <c r="V117">
        <v>3.2080000000000002</v>
      </c>
      <c r="W117">
        <v>3.2080000000000002</v>
      </c>
      <c r="X117">
        <v>2.528</v>
      </c>
      <c r="Y117">
        <v>2.5580000000000003</v>
      </c>
      <c r="Z117">
        <v>2.5960000000000001</v>
      </c>
      <c r="AB117" s="247"/>
      <c r="AC117" s="247"/>
    </row>
    <row r="118" spans="20:33" x14ac:dyDescent="0.25">
      <c r="T118" s="244">
        <v>49157</v>
      </c>
      <c r="U118" s="245">
        <v>3.2480000000000002</v>
      </c>
      <c r="V118">
        <v>3.2480000000000002</v>
      </c>
      <c r="W118">
        <v>3.2480000000000002</v>
      </c>
      <c r="X118">
        <v>2.5430000000000001</v>
      </c>
      <c r="Y118">
        <v>2.6080000000000001</v>
      </c>
      <c r="Z118">
        <v>2.6260000000000003</v>
      </c>
      <c r="AB118" s="247"/>
      <c r="AC118" s="247"/>
    </row>
    <row r="119" spans="20:33" x14ac:dyDescent="0.25">
      <c r="T119" s="244">
        <v>49188</v>
      </c>
      <c r="U119" s="245">
        <v>3.2629999999999999</v>
      </c>
      <c r="V119">
        <v>3.2629999999999999</v>
      </c>
      <c r="W119">
        <v>3.2629999999999999</v>
      </c>
      <c r="X119">
        <v>2.3679999999999999</v>
      </c>
      <c r="Y119">
        <v>2.4809999999999999</v>
      </c>
      <c r="Z119">
        <v>1.9829999999999999</v>
      </c>
      <c r="AB119" s="247"/>
      <c r="AC119" s="247"/>
    </row>
    <row r="120" spans="20:33" x14ac:dyDescent="0.25">
      <c r="T120" s="244">
        <v>49218</v>
      </c>
      <c r="U120" s="245">
        <v>3.3090000000000002</v>
      </c>
      <c r="V120">
        <v>3.3090000000000002</v>
      </c>
      <c r="W120">
        <v>3.3090000000000002</v>
      </c>
      <c r="X120">
        <v>2.4940000000000002</v>
      </c>
      <c r="Y120">
        <v>2.5369999999999999</v>
      </c>
      <c r="Z120">
        <v>1.8840000000000001</v>
      </c>
      <c r="AB120" s="247"/>
      <c r="AC120" s="247"/>
    </row>
    <row r="121" spans="20:33" x14ac:dyDescent="0.25">
      <c r="T121" s="244">
        <v>49249</v>
      </c>
      <c r="U121" s="245">
        <v>3.5489999999999999</v>
      </c>
      <c r="V121">
        <v>3.5489999999999999</v>
      </c>
      <c r="W121">
        <v>3.5489999999999999</v>
      </c>
      <c r="X121">
        <v>5.3940000000000001</v>
      </c>
      <c r="Y121">
        <v>2.5789999999999997</v>
      </c>
      <c r="Z121">
        <v>3.7909999999999999</v>
      </c>
      <c r="AB121" s="247"/>
      <c r="AC121" s="247"/>
    </row>
    <row r="122" spans="20:33" x14ac:dyDescent="0.25">
      <c r="T122" s="244">
        <v>49279</v>
      </c>
      <c r="U122" s="245">
        <v>3.9489999999999998</v>
      </c>
      <c r="V122">
        <v>3.9489999999999998</v>
      </c>
      <c r="W122">
        <v>3.9489999999999998</v>
      </c>
      <c r="X122">
        <v>6.5739999999999998</v>
      </c>
      <c r="Y122">
        <v>4.2189999999999994</v>
      </c>
      <c r="Z122">
        <v>4.1470000000000002</v>
      </c>
      <c r="AB122" s="247"/>
      <c r="AC122" s="247"/>
    </row>
    <row r="123" spans="20:33" x14ac:dyDescent="0.25">
      <c r="T123" s="244">
        <v>49310</v>
      </c>
      <c r="U123" s="245">
        <v>4.1689999999999996</v>
      </c>
      <c r="V123">
        <v>4.1689999999999996</v>
      </c>
      <c r="W123">
        <v>4.1689999999999996</v>
      </c>
      <c r="X123">
        <v>6.7009999999999996</v>
      </c>
      <c r="Y123">
        <v>6.4009999999999998</v>
      </c>
      <c r="Z123">
        <v>6.1789999999999994</v>
      </c>
      <c r="AB123" s="247"/>
      <c r="AC123" s="247"/>
    </row>
    <row r="124" spans="20:33" x14ac:dyDescent="0.25">
      <c r="T124" s="244">
        <v>49341</v>
      </c>
      <c r="U124" s="245">
        <v>3.9289999999999998</v>
      </c>
      <c r="V124">
        <v>3.9289999999999998</v>
      </c>
      <c r="W124">
        <v>3.9289999999999998</v>
      </c>
      <c r="X124">
        <v>5.9039999999999999</v>
      </c>
      <c r="Y124">
        <v>5.9489999999999998</v>
      </c>
      <c r="Z124">
        <v>6.9190000000000005</v>
      </c>
      <c r="AB124" s="247"/>
      <c r="AC124" s="247"/>
    </row>
    <row r="125" spans="20:33" x14ac:dyDescent="0.25">
      <c r="T125" s="244">
        <v>49369</v>
      </c>
      <c r="U125" s="245">
        <v>3.4990000000000001</v>
      </c>
      <c r="V125">
        <v>3.4990000000000001</v>
      </c>
      <c r="W125">
        <v>3.4990000000000001</v>
      </c>
      <c r="X125">
        <v>3.2370000000000001</v>
      </c>
      <c r="Y125">
        <v>3.004</v>
      </c>
      <c r="Z125">
        <v>4.1610000000000005</v>
      </c>
      <c r="AB125" s="247"/>
      <c r="AC125" s="247"/>
    </row>
    <row r="126" spans="20:33" x14ac:dyDescent="0.25">
      <c r="T126" s="244">
        <v>49400</v>
      </c>
      <c r="U126" s="245">
        <v>3.169</v>
      </c>
      <c r="V126">
        <v>3.169</v>
      </c>
      <c r="W126">
        <v>3.169</v>
      </c>
      <c r="X126">
        <v>2.6139999999999999</v>
      </c>
      <c r="Y126">
        <v>2.6310000000000002</v>
      </c>
      <c r="Z126">
        <v>2.8610000000000002</v>
      </c>
      <c r="AB126" s="247">
        <v>-0.55500000000000005</v>
      </c>
      <c r="AC126" s="248">
        <f>U126+AB126</f>
        <v>2.6139999999999999</v>
      </c>
      <c r="AD126" s="247"/>
      <c r="AE126" s="247">
        <v>-0.53749999999999998</v>
      </c>
      <c r="AF126" s="248">
        <f>U126+AE126</f>
        <v>2.6315</v>
      </c>
      <c r="AG126" s="247" t="s">
        <v>171</v>
      </c>
    </row>
    <row r="127" spans="20:33" x14ac:dyDescent="0.25">
      <c r="T127" s="244">
        <v>49430</v>
      </c>
      <c r="U127" s="245">
        <v>3.1469999999999998</v>
      </c>
      <c r="V127">
        <v>3.1469999999999998</v>
      </c>
      <c r="W127">
        <v>3.1469999999999998</v>
      </c>
      <c r="X127">
        <v>2.4769999999999999</v>
      </c>
      <c r="Y127">
        <v>2.3119999999999998</v>
      </c>
      <c r="Z127">
        <v>2.4289999999999998</v>
      </c>
      <c r="AB127" s="247">
        <v>-0.67</v>
      </c>
      <c r="AC127" s="249">
        <f>U127+AB127</f>
        <v>2.4769999999999999</v>
      </c>
      <c r="AD127" s="247"/>
      <c r="AE127" s="247">
        <v>-0.83499999999999996</v>
      </c>
      <c r="AF127" s="248">
        <f>U127+AE127</f>
        <v>2.3119999999999998</v>
      </c>
      <c r="AG127" s="247" t="s">
        <v>171</v>
      </c>
    </row>
    <row r="128" spans="20:33" x14ac:dyDescent="0.25">
      <c r="T128" s="244">
        <v>49461</v>
      </c>
      <c r="U128" s="245">
        <v>3.1819999999999999</v>
      </c>
      <c r="V128">
        <v>3.1819999999999999</v>
      </c>
      <c r="W128">
        <v>3.1819999999999999</v>
      </c>
      <c r="X128">
        <v>2.4969999999999999</v>
      </c>
      <c r="Y128">
        <v>2.4219999999999997</v>
      </c>
      <c r="Z128">
        <v>2.577</v>
      </c>
      <c r="AB128" s="247" t="s">
        <v>172</v>
      </c>
      <c r="AC128" s="247"/>
    </row>
    <row r="129" spans="20:29" x14ac:dyDescent="0.25">
      <c r="T129" s="244">
        <v>49491</v>
      </c>
      <c r="U129" s="245">
        <v>3.222</v>
      </c>
      <c r="V129">
        <v>3.222</v>
      </c>
      <c r="W129">
        <v>3.222</v>
      </c>
      <c r="X129">
        <v>2.5419999999999998</v>
      </c>
      <c r="Y129">
        <v>2.504</v>
      </c>
      <c r="Z129">
        <v>2.61</v>
      </c>
      <c r="AB129" s="247"/>
      <c r="AC129" s="247"/>
    </row>
    <row r="130" spans="20:29" x14ac:dyDescent="0.25">
      <c r="T130" s="244">
        <v>49522</v>
      </c>
      <c r="U130" s="245">
        <v>3.262</v>
      </c>
      <c r="V130">
        <v>3.262</v>
      </c>
      <c r="W130">
        <v>3.262</v>
      </c>
      <c r="X130">
        <v>2.5569999999999999</v>
      </c>
      <c r="Y130">
        <v>2.5540000000000003</v>
      </c>
      <c r="Z130">
        <v>2.64</v>
      </c>
      <c r="AB130" s="247"/>
      <c r="AC130" s="247"/>
    </row>
    <row r="131" spans="20:29" x14ac:dyDescent="0.25">
      <c r="T131" s="244">
        <v>49553</v>
      </c>
      <c r="U131" s="245">
        <v>3.2770000000000001</v>
      </c>
      <c r="V131">
        <v>3.2770000000000001</v>
      </c>
      <c r="W131">
        <v>3.2770000000000001</v>
      </c>
      <c r="X131">
        <v>2.3820000000000001</v>
      </c>
      <c r="Y131">
        <v>2.4250000000000003</v>
      </c>
      <c r="Z131">
        <v>1.9970000000000001</v>
      </c>
      <c r="AB131" s="247"/>
      <c r="AC131" s="247"/>
    </row>
    <row r="132" spans="20:29" x14ac:dyDescent="0.25">
      <c r="T132" s="244">
        <v>49583</v>
      </c>
      <c r="U132" s="245">
        <v>3.323</v>
      </c>
      <c r="V132">
        <v>3.323</v>
      </c>
      <c r="W132">
        <v>3.323</v>
      </c>
      <c r="X132">
        <v>2.508</v>
      </c>
      <c r="Y132">
        <v>2.4830000000000001</v>
      </c>
      <c r="Z132">
        <v>1.8979999999999999</v>
      </c>
      <c r="AB132" s="247"/>
      <c r="AC132" s="247"/>
    </row>
    <row r="133" spans="20:29" x14ac:dyDescent="0.25">
      <c r="T133" s="244">
        <v>49614</v>
      </c>
      <c r="U133" s="245">
        <v>3.5230000000000001</v>
      </c>
      <c r="V133">
        <v>3.5230000000000001</v>
      </c>
      <c r="W133">
        <v>3.5230000000000001</v>
      </c>
      <c r="X133">
        <v>5.3410000000000002</v>
      </c>
      <c r="Y133">
        <v>2.3250000000000002</v>
      </c>
      <c r="Z133">
        <v>3.1850000000000001</v>
      </c>
      <c r="AB133" s="247"/>
      <c r="AC133" s="248"/>
    </row>
    <row r="134" spans="20:29" x14ac:dyDescent="0.25">
      <c r="T134" s="244">
        <v>49644</v>
      </c>
      <c r="U134" s="245">
        <v>3.823</v>
      </c>
      <c r="V134">
        <v>3.823</v>
      </c>
      <c r="W134">
        <v>3.823</v>
      </c>
      <c r="X134">
        <v>6.4209999999999994</v>
      </c>
      <c r="Y134">
        <v>3.8649999999999998</v>
      </c>
      <c r="Z134">
        <v>3.4409999999999998</v>
      </c>
      <c r="AB134" s="247"/>
      <c r="AC134" s="247"/>
    </row>
    <row r="135" spans="20:29" x14ac:dyDescent="0.25">
      <c r="T135" s="244">
        <v>49675</v>
      </c>
      <c r="U135" s="245">
        <v>4.093</v>
      </c>
      <c r="V135">
        <v>4.093</v>
      </c>
      <c r="W135">
        <v>4.093</v>
      </c>
      <c r="X135">
        <v>4.093</v>
      </c>
      <c r="Y135">
        <v>6.2330000000000005</v>
      </c>
      <c r="Z135">
        <v>4.093</v>
      </c>
      <c r="AB135" s="247"/>
      <c r="AC135" s="247"/>
    </row>
    <row r="136" spans="20:29" x14ac:dyDescent="0.25">
      <c r="T136" s="244">
        <v>49706</v>
      </c>
      <c r="U136" s="245">
        <v>3.923</v>
      </c>
      <c r="V136">
        <v>3.923</v>
      </c>
      <c r="W136">
        <v>3.923</v>
      </c>
      <c r="X136">
        <v>3.923</v>
      </c>
      <c r="Y136">
        <v>5.851</v>
      </c>
      <c r="Z136">
        <v>3.923</v>
      </c>
      <c r="AB136" s="247"/>
      <c r="AC136" s="247"/>
    </row>
    <row r="137" spans="20:29" x14ac:dyDescent="0.25">
      <c r="T137" s="244">
        <v>49735</v>
      </c>
      <c r="U137" s="245">
        <v>3.653</v>
      </c>
      <c r="V137">
        <v>3.653</v>
      </c>
      <c r="W137">
        <v>3.653</v>
      </c>
      <c r="X137">
        <v>3.653</v>
      </c>
      <c r="Y137">
        <v>3.0630000000000002</v>
      </c>
      <c r="Z137">
        <v>3.653</v>
      </c>
      <c r="AB137" s="247"/>
      <c r="AC137" s="247"/>
    </row>
    <row r="138" spans="20:29" x14ac:dyDescent="0.25">
      <c r="T138" s="244">
        <v>49766</v>
      </c>
      <c r="U138" s="245">
        <v>3.323</v>
      </c>
      <c r="V138">
        <v>3.323</v>
      </c>
      <c r="W138">
        <v>3.323</v>
      </c>
      <c r="X138">
        <v>3.323</v>
      </c>
      <c r="Y138">
        <v>2.7210000000000001</v>
      </c>
      <c r="Z138">
        <v>3.323</v>
      </c>
      <c r="AB138" s="247"/>
      <c r="AC138" s="247"/>
    </row>
    <row r="139" spans="20:29" x14ac:dyDescent="0.25">
      <c r="T139" s="244">
        <v>49796</v>
      </c>
      <c r="U139" s="245">
        <v>3.3010000000000002</v>
      </c>
      <c r="V139">
        <v>3.3010000000000002</v>
      </c>
      <c r="W139">
        <v>3.3010000000000002</v>
      </c>
      <c r="X139">
        <v>3.3010000000000002</v>
      </c>
      <c r="Y139">
        <v>2.4010000000000002</v>
      </c>
      <c r="Z139">
        <v>3.3010000000000002</v>
      </c>
      <c r="AB139" s="247"/>
      <c r="AC139" s="247"/>
    </row>
    <row r="140" spans="20:29" x14ac:dyDescent="0.25">
      <c r="T140" s="244">
        <v>49827</v>
      </c>
      <c r="U140" s="245">
        <v>3.3359999999999999</v>
      </c>
      <c r="V140">
        <v>3.3359999999999999</v>
      </c>
      <c r="W140">
        <v>3.3359999999999999</v>
      </c>
      <c r="X140">
        <v>3.3359999999999999</v>
      </c>
      <c r="Y140">
        <v>2.5110000000000001</v>
      </c>
      <c r="Z140">
        <v>3.3359999999999999</v>
      </c>
      <c r="AB140" s="247"/>
      <c r="AC140" s="247"/>
    </row>
    <row r="141" spans="20:29" x14ac:dyDescent="0.25">
      <c r="T141" s="244">
        <v>49857</v>
      </c>
      <c r="U141" s="245">
        <v>3.3759999999999999</v>
      </c>
      <c r="V141">
        <v>3.3759999999999999</v>
      </c>
      <c r="W141">
        <v>3.3759999999999999</v>
      </c>
      <c r="X141">
        <v>3.3759999999999999</v>
      </c>
      <c r="Y141">
        <v>2.5939999999999999</v>
      </c>
      <c r="Z141">
        <v>3.3759999999999999</v>
      </c>
      <c r="AB141" s="247"/>
      <c r="AC141" s="247"/>
    </row>
    <row r="142" spans="20:29" x14ac:dyDescent="0.25">
      <c r="T142" s="244">
        <v>49888</v>
      </c>
      <c r="U142" s="245">
        <v>3.4159999999999999</v>
      </c>
      <c r="V142">
        <v>3.4159999999999999</v>
      </c>
      <c r="W142">
        <v>3.4159999999999999</v>
      </c>
      <c r="X142">
        <v>3.4159999999999999</v>
      </c>
      <c r="Y142">
        <v>2.6440000000000001</v>
      </c>
      <c r="Z142">
        <v>3.4159999999999999</v>
      </c>
      <c r="AB142" s="247"/>
      <c r="AC142" s="247"/>
    </row>
    <row r="143" spans="20:29" x14ac:dyDescent="0.25">
      <c r="T143" s="244">
        <v>49919</v>
      </c>
      <c r="U143" s="245">
        <v>3.431</v>
      </c>
      <c r="V143">
        <v>3.431</v>
      </c>
      <c r="W143">
        <v>3.431</v>
      </c>
      <c r="X143">
        <v>3.431</v>
      </c>
      <c r="Y143">
        <v>2.5129999999999999</v>
      </c>
      <c r="Z143">
        <v>3.431</v>
      </c>
      <c r="AB143" s="247"/>
      <c r="AC143" s="247"/>
    </row>
    <row r="144" spans="20:29" x14ac:dyDescent="0.25">
      <c r="T144" s="244">
        <v>49949</v>
      </c>
      <c r="U144" s="245">
        <v>3.4769999999999999</v>
      </c>
      <c r="V144">
        <v>3.4769999999999999</v>
      </c>
      <c r="W144">
        <v>3.4769999999999999</v>
      </c>
      <c r="X144">
        <v>3.4769999999999999</v>
      </c>
      <c r="Y144">
        <v>2.5720000000000001</v>
      </c>
      <c r="Z144">
        <v>3.4769999999999999</v>
      </c>
      <c r="AB144" s="247"/>
      <c r="AC144" s="247"/>
    </row>
    <row r="145" spans="20:29" x14ac:dyDescent="0.25">
      <c r="T145" s="244">
        <v>49980</v>
      </c>
      <c r="U145" s="245">
        <v>3.5489999999999999</v>
      </c>
      <c r="V145">
        <v>3.5489999999999999</v>
      </c>
      <c r="W145">
        <v>3.5489999999999999</v>
      </c>
      <c r="X145">
        <v>3.5489999999999999</v>
      </c>
      <c r="Y145">
        <v>2.2869999999999999</v>
      </c>
      <c r="Z145">
        <v>3.5489999999999999</v>
      </c>
      <c r="AB145" s="247"/>
      <c r="AC145" s="247"/>
    </row>
    <row r="146" spans="20:29" x14ac:dyDescent="0.25">
      <c r="T146" s="244">
        <v>50010</v>
      </c>
      <c r="U146" s="245">
        <v>3.7040000000000002</v>
      </c>
      <c r="V146">
        <v>3.7040000000000002</v>
      </c>
      <c r="W146">
        <v>3.7040000000000002</v>
      </c>
      <c r="X146">
        <v>3.7040000000000002</v>
      </c>
      <c r="Y146">
        <v>3.6820000000000004</v>
      </c>
      <c r="Z146">
        <v>3.7040000000000002</v>
      </c>
      <c r="AB146" s="247"/>
      <c r="AC146" s="247"/>
    </row>
    <row r="147" spans="20:29" x14ac:dyDescent="0.25">
      <c r="T147" s="244">
        <v>50041</v>
      </c>
      <c r="U147" s="245">
        <v>3.9289999999999998</v>
      </c>
      <c r="V147">
        <v>3.9289999999999998</v>
      </c>
      <c r="W147">
        <v>3.9289999999999998</v>
      </c>
      <c r="X147">
        <v>3.9289999999999998</v>
      </c>
      <c r="Y147">
        <v>3.9289999999999998</v>
      </c>
      <c r="Z147">
        <v>3.9289999999999998</v>
      </c>
      <c r="AB147" s="247"/>
      <c r="AC147" s="247"/>
    </row>
    <row r="148" spans="20:29" x14ac:dyDescent="0.25">
      <c r="T148" s="244">
        <v>50072</v>
      </c>
      <c r="U148" s="245">
        <v>3.7789999999999999</v>
      </c>
      <c r="V148">
        <v>3.7789999999999999</v>
      </c>
      <c r="W148">
        <v>3.7789999999999999</v>
      </c>
      <c r="X148">
        <v>3.7789999999999999</v>
      </c>
      <c r="Y148">
        <v>3.7789999999999999</v>
      </c>
      <c r="Z148">
        <v>3.7789999999999999</v>
      </c>
      <c r="AB148" s="247"/>
      <c r="AC148" s="247"/>
    </row>
    <row r="149" spans="20:29" x14ac:dyDescent="0.25">
      <c r="T149" s="244">
        <v>50100</v>
      </c>
      <c r="U149" s="245">
        <v>3.5790000000000002</v>
      </c>
      <c r="V149">
        <v>3.5790000000000002</v>
      </c>
      <c r="W149">
        <v>3.5790000000000002</v>
      </c>
      <c r="X149">
        <v>3.5790000000000002</v>
      </c>
      <c r="Y149">
        <v>3.5790000000000002</v>
      </c>
      <c r="Z149">
        <v>3.5790000000000002</v>
      </c>
      <c r="AB149" s="247"/>
      <c r="AC149" s="247"/>
    </row>
    <row r="150" spans="20:29" x14ac:dyDescent="0.25">
      <c r="T150" s="244">
        <v>50131</v>
      </c>
      <c r="U150" s="245">
        <v>3.2490000000000001</v>
      </c>
      <c r="V150">
        <v>3.2490000000000001</v>
      </c>
      <c r="W150">
        <v>3.2490000000000001</v>
      </c>
      <c r="X150">
        <v>3.2490000000000001</v>
      </c>
      <c r="Y150">
        <v>3.2490000000000001</v>
      </c>
      <c r="Z150">
        <v>3.2490000000000001</v>
      </c>
      <c r="AB150" s="247"/>
      <c r="AC150" s="247"/>
    </row>
    <row r="151" spans="20:29" x14ac:dyDescent="0.25">
      <c r="T151" s="244">
        <v>50161</v>
      </c>
      <c r="U151" s="245">
        <v>3.2269999999999999</v>
      </c>
      <c r="V151">
        <v>3.2269999999999999</v>
      </c>
      <c r="W151">
        <v>3.2269999999999999</v>
      </c>
      <c r="X151">
        <v>3.2269999999999999</v>
      </c>
      <c r="Y151">
        <v>3.2269999999999999</v>
      </c>
      <c r="Z151">
        <v>3.2269999999999999</v>
      </c>
      <c r="AB151" s="247"/>
      <c r="AC151" s="247"/>
    </row>
    <row r="152" spans="20:29" x14ac:dyDescent="0.25">
      <c r="T152" s="244">
        <v>50192</v>
      </c>
      <c r="U152" s="245">
        <v>3.262</v>
      </c>
      <c r="V152">
        <v>3.262</v>
      </c>
      <c r="W152">
        <v>3.262</v>
      </c>
      <c r="X152">
        <v>3.262</v>
      </c>
      <c r="Y152">
        <v>3.262</v>
      </c>
      <c r="Z152">
        <v>3.262</v>
      </c>
      <c r="AB152" s="247"/>
      <c r="AC152" s="247"/>
    </row>
    <row r="153" spans="20:29" x14ac:dyDescent="0.25">
      <c r="T153" s="244">
        <v>50222</v>
      </c>
      <c r="U153" s="245">
        <v>3.302</v>
      </c>
      <c r="V153">
        <v>3.302</v>
      </c>
      <c r="W153">
        <v>3.302</v>
      </c>
      <c r="X153">
        <v>3.302</v>
      </c>
      <c r="Y153">
        <v>3.302</v>
      </c>
      <c r="Z153">
        <v>3.302</v>
      </c>
      <c r="AB153" s="247"/>
      <c r="AC153" s="247"/>
    </row>
    <row r="154" spans="20:29" x14ac:dyDescent="0.25">
      <c r="T154" s="244">
        <v>50253</v>
      </c>
      <c r="U154" s="245">
        <v>3.3420000000000001</v>
      </c>
      <c r="V154">
        <v>3.3420000000000001</v>
      </c>
      <c r="W154">
        <v>3.3420000000000001</v>
      </c>
      <c r="X154">
        <v>3.3420000000000001</v>
      </c>
      <c r="Y154">
        <v>3.3420000000000001</v>
      </c>
      <c r="Z154">
        <v>3.3420000000000001</v>
      </c>
      <c r="AB154" s="247"/>
      <c r="AC154" s="247"/>
    </row>
    <row r="155" spans="20:29" x14ac:dyDescent="0.25">
      <c r="T155" s="244">
        <v>50284</v>
      </c>
      <c r="U155" s="245">
        <v>3.3570000000000002</v>
      </c>
      <c r="V155">
        <v>3.3570000000000002</v>
      </c>
      <c r="W155">
        <v>3.3570000000000002</v>
      </c>
      <c r="X155">
        <v>3.3570000000000002</v>
      </c>
      <c r="Y155">
        <v>3.3570000000000002</v>
      </c>
      <c r="Z155">
        <v>3.3570000000000002</v>
      </c>
      <c r="AB155" s="247"/>
      <c r="AC155" s="247"/>
    </row>
    <row r="156" spans="20:29" x14ac:dyDescent="0.25">
      <c r="T156" s="244">
        <v>50314</v>
      </c>
      <c r="U156" s="245">
        <v>3.403</v>
      </c>
      <c r="V156">
        <v>3.403</v>
      </c>
      <c r="W156">
        <v>3.403</v>
      </c>
      <c r="X156">
        <v>3.403</v>
      </c>
      <c r="Y156">
        <v>3.403</v>
      </c>
      <c r="Z156">
        <v>3.403</v>
      </c>
      <c r="AB156" s="247"/>
      <c r="AC156" s="247"/>
    </row>
    <row r="157" spans="20:29" x14ac:dyDescent="0.25">
      <c r="T157" s="244">
        <v>50345</v>
      </c>
      <c r="U157" s="245">
        <v>3.4750000000000001</v>
      </c>
      <c r="V157">
        <v>3.4750000000000001</v>
      </c>
      <c r="W157">
        <v>3.4750000000000001</v>
      </c>
      <c r="X157">
        <v>3.4750000000000001</v>
      </c>
      <c r="Y157">
        <v>3.4750000000000001</v>
      </c>
      <c r="Z157">
        <v>3.4750000000000001</v>
      </c>
      <c r="AB157" s="247"/>
      <c r="AC157" s="248"/>
    </row>
    <row r="158" spans="20:29" x14ac:dyDescent="0.25">
      <c r="U158" s="83">
        <v>3.5150000000000001</v>
      </c>
      <c r="V158" s="83">
        <v>3.4930000000000003</v>
      </c>
      <c r="W158" s="83">
        <v>2.835</v>
      </c>
      <c r="X158" s="83">
        <v>6.0630000000000006</v>
      </c>
      <c r="Y158" s="83">
        <v>3.4930000000000003</v>
      </c>
      <c r="Z158" s="83">
        <v>2.9450000000000003</v>
      </c>
    </row>
  </sheetData>
  <mergeCells count="1">
    <mergeCell ref="O3:O1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79998168889431442"/>
  </sheetPr>
  <dimension ref="A1:BI60"/>
  <sheetViews>
    <sheetView zoomScale="80" zoomScaleNormal="80" workbookViewId="0">
      <selection activeCell="AI22" sqref="AI22"/>
    </sheetView>
  </sheetViews>
  <sheetFormatPr defaultColWidth="9.140625" defaultRowHeight="15" x14ac:dyDescent="0.25"/>
  <cols>
    <col min="1" max="1" width="19.42578125" style="6" bestFit="1" customWidth="1"/>
    <col min="2" max="13" width="9.140625" style="6"/>
    <col min="14" max="14" width="11.42578125" style="6" bestFit="1" customWidth="1"/>
    <col min="15" max="15" width="11.140625" style="6" bestFit="1" customWidth="1"/>
    <col min="16" max="16" width="4.140625" style="6" customWidth="1"/>
    <col min="17" max="17" width="12.85546875" style="6" customWidth="1"/>
    <col min="18" max="18" width="50.85546875" style="6" customWidth="1"/>
    <col min="19" max="32" width="9.140625" style="6"/>
    <col min="33" max="33" width="12.140625" style="6" bestFit="1" customWidth="1"/>
    <col min="34" max="16384" width="9.140625" style="6"/>
  </cols>
  <sheetData>
    <row r="1" spans="1:61" s="152" customFormat="1" ht="15.75" x14ac:dyDescent="0.25">
      <c r="A1" s="342" t="s">
        <v>173</v>
      </c>
      <c r="B1" s="343"/>
      <c r="C1" s="343"/>
      <c r="D1" s="343"/>
      <c r="E1" s="343"/>
      <c r="F1" s="343"/>
      <c r="G1" s="286"/>
      <c r="H1" s="286"/>
      <c r="I1" s="286"/>
      <c r="J1" s="286"/>
      <c r="K1" s="286"/>
      <c r="L1" s="286"/>
      <c r="M1" s="286"/>
    </row>
    <row r="2" spans="1:61" s="152" customFormat="1" ht="15.75" x14ac:dyDescent="0.25">
      <c r="A2" s="342" t="s">
        <v>174</v>
      </c>
      <c r="B2" s="343"/>
      <c r="C2" s="343"/>
      <c r="D2" s="343"/>
      <c r="E2" s="343"/>
      <c r="F2" s="343"/>
      <c r="G2" s="286"/>
      <c r="H2" s="286"/>
      <c r="I2" s="286"/>
      <c r="J2" s="286"/>
      <c r="K2" s="286"/>
      <c r="L2" s="286"/>
      <c r="M2" s="286"/>
    </row>
    <row r="3" spans="1:61" s="152" customFormat="1" x14ac:dyDescent="0.25">
      <c r="A3" s="343"/>
      <c r="B3" s="343"/>
      <c r="C3" s="343"/>
      <c r="D3" s="343"/>
      <c r="E3" s="343"/>
      <c r="F3" s="343"/>
      <c r="G3" s="286"/>
      <c r="H3" s="286"/>
      <c r="I3" s="286"/>
      <c r="J3" s="286"/>
      <c r="K3" s="286"/>
      <c r="L3" s="286"/>
      <c r="M3" s="286"/>
    </row>
    <row r="4" spans="1:61" x14ac:dyDescent="0.25">
      <c r="A4" s="147" t="s">
        <v>175</v>
      </c>
      <c r="B4" s="344" t="s">
        <v>176</v>
      </c>
      <c r="C4" s="345"/>
      <c r="D4" s="345"/>
      <c r="E4" s="345"/>
      <c r="F4" s="346"/>
      <c r="G4" s="286"/>
      <c r="H4" s="286"/>
      <c r="I4" s="286"/>
      <c r="J4" s="286"/>
      <c r="K4" s="286"/>
      <c r="L4" s="286"/>
      <c r="M4" s="286"/>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row>
    <row r="5" spans="1:61" x14ac:dyDescent="0.25">
      <c r="A5" s="148" t="s">
        <v>177</v>
      </c>
      <c r="B5" s="340" t="s">
        <v>178</v>
      </c>
      <c r="C5" s="341"/>
      <c r="D5" s="341"/>
      <c r="E5" s="341"/>
      <c r="F5" s="341"/>
      <c r="G5" s="286"/>
      <c r="H5" s="286"/>
      <c r="I5" s="286"/>
      <c r="J5" s="286"/>
      <c r="K5" s="286"/>
      <c r="L5" s="286"/>
      <c r="M5" s="286"/>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row>
    <row r="6" spans="1:61" ht="14.45" customHeight="1" x14ac:dyDescent="0.25">
      <c r="A6" s="148" t="s">
        <v>179</v>
      </c>
      <c r="B6" s="340" t="s">
        <v>180</v>
      </c>
      <c r="C6" s="341"/>
      <c r="D6" s="341"/>
      <c r="E6" s="341"/>
      <c r="F6" s="341"/>
      <c r="G6" s="286"/>
      <c r="H6" s="286"/>
      <c r="I6" s="286"/>
      <c r="J6" s="286"/>
      <c r="K6" s="286"/>
      <c r="L6" s="286"/>
      <c r="M6" s="286"/>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row>
    <row r="7" spans="1:61" ht="14.45" customHeight="1" x14ac:dyDescent="0.25">
      <c r="A7" s="148" t="s">
        <v>181</v>
      </c>
      <c r="B7" s="340" t="s">
        <v>182</v>
      </c>
      <c r="C7" s="341"/>
      <c r="D7" s="341"/>
      <c r="E7" s="341"/>
      <c r="F7" s="341"/>
      <c r="G7" s="286"/>
      <c r="H7" s="286"/>
      <c r="I7" s="286"/>
      <c r="J7" s="286"/>
      <c r="K7" s="286"/>
      <c r="L7" s="286"/>
      <c r="M7" s="286"/>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row>
    <row r="8" spans="1:61" ht="14.45" customHeight="1" x14ac:dyDescent="0.25">
      <c r="A8" s="148" t="s">
        <v>183</v>
      </c>
      <c r="B8" s="340" t="s">
        <v>182</v>
      </c>
      <c r="C8" s="341"/>
      <c r="D8" s="341"/>
      <c r="E8" s="341"/>
      <c r="F8" s="341"/>
      <c r="G8" s="286"/>
      <c r="H8" s="286"/>
      <c r="I8" s="286"/>
      <c r="J8" s="286"/>
      <c r="K8" s="286"/>
      <c r="L8" s="286"/>
      <c r="M8" s="286"/>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row>
    <row r="9" spans="1:61" x14ac:dyDescent="0.25">
      <c r="A9" s="148" t="s">
        <v>184</v>
      </c>
      <c r="B9" s="340" t="s">
        <v>185</v>
      </c>
      <c r="C9" s="341"/>
      <c r="D9" s="341"/>
      <c r="E9" s="341"/>
      <c r="F9" s="341"/>
      <c r="G9" s="286"/>
      <c r="H9" s="286"/>
      <c r="I9" s="286"/>
      <c r="J9" s="286"/>
      <c r="K9" s="286"/>
      <c r="L9" s="286"/>
      <c r="M9" s="286"/>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row>
    <row r="10" spans="1:61" x14ac:dyDescent="0.25">
      <c r="A10" s="148" t="s">
        <v>186</v>
      </c>
      <c r="B10" s="340" t="s">
        <v>187</v>
      </c>
      <c r="C10" s="341"/>
      <c r="D10" s="341"/>
      <c r="E10" s="341"/>
      <c r="F10" s="341"/>
      <c r="G10" s="286"/>
      <c r="H10" s="286"/>
      <c r="I10" s="286"/>
      <c r="J10" s="286"/>
      <c r="K10" s="286"/>
      <c r="L10" s="286"/>
      <c r="M10" s="286"/>
      <c r="N10" s="152"/>
      <c r="O10" s="152"/>
      <c r="P10" s="152"/>
      <c r="Q10" s="152"/>
      <c r="R10" s="152"/>
      <c r="S10" s="152"/>
      <c r="T10" s="152" t="s">
        <v>188</v>
      </c>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row>
    <row r="11" spans="1:61" s="152" customFormat="1" x14ac:dyDescent="0.25">
      <c r="A11" s="153"/>
      <c r="B11" s="154"/>
      <c r="C11" s="286"/>
      <c r="D11" s="286"/>
      <c r="E11" s="286"/>
      <c r="F11" s="286"/>
      <c r="G11" s="286"/>
      <c r="H11" s="286"/>
      <c r="I11" s="286"/>
      <c r="J11" s="286"/>
      <c r="K11" s="286"/>
      <c r="L11" s="286"/>
      <c r="M11" s="286"/>
    </row>
    <row r="12" spans="1:61" x14ac:dyDescent="0.25">
      <c r="A12" s="92" t="s">
        <v>189</v>
      </c>
      <c r="B12" s="93">
        <v>5</v>
      </c>
      <c r="C12" s="155"/>
      <c r="D12" s="286"/>
      <c r="E12" s="286"/>
      <c r="F12" s="286"/>
      <c r="G12" s="286"/>
      <c r="H12" s="286"/>
      <c r="I12" s="286"/>
      <c r="J12" s="286"/>
      <c r="K12" s="286"/>
      <c r="L12" s="286"/>
      <c r="M12" s="286"/>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row>
    <row r="13" spans="1:61" s="152" customFormat="1" x14ac:dyDescent="0.25"/>
    <row r="14" spans="1:61" ht="15" customHeight="1" x14ac:dyDescent="0.25">
      <c r="A14" s="149" t="s">
        <v>120</v>
      </c>
      <c r="B14" s="149" t="s">
        <v>100</v>
      </c>
      <c r="C14" s="149" t="s">
        <v>102</v>
      </c>
      <c r="D14" s="149" t="s">
        <v>103</v>
      </c>
      <c r="E14" s="149" t="s">
        <v>105</v>
      </c>
      <c r="F14" s="149" t="s">
        <v>106</v>
      </c>
      <c r="G14" s="149" t="s">
        <v>108</v>
      </c>
      <c r="H14" s="149" t="s">
        <v>109</v>
      </c>
      <c r="I14" s="149" t="s">
        <v>110</v>
      </c>
      <c r="J14" s="149" t="s">
        <v>111</v>
      </c>
      <c r="K14" s="149" t="s">
        <v>112</v>
      </c>
      <c r="L14" s="149" t="s">
        <v>113</v>
      </c>
      <c r="M14" s="149" t="s">
        <v>114</v>
      </c>
      <c r="N14" s="149" t="s">
        <v>190</v>
      </c>
      <c r="O14" s="149" t="s">
        <v>191</v>
      </c>
      <c r="P14" s="152"/>
      <c r="Q14" s="158" t="s">
        <v>169</v>
      </c>
      <c r="R14" s="337" t="s">
        <v>192</v>
      </c>
      <c r="S14" s="152"/>
      <c r="T14" s="149" t="s">
        <v>120</v>
      </c>
      <c r="U14" s="149" t="s">
        <v>100</v>
      </c>
      <c r="V14" s="149" t="s">
        <v>102</v>
      </c>
      <c r="W14" s="149" t="s">
        <v>103</v>
      </c>
      <c r="X14" s="149" t="s">
        <v>105</v>
      </c>
      <c r="Y14" s="149" t="s">
        <v>106</v>
      </c>
      <c r="Z14" s="149" t="s">
        <v>108</v>
      </c>
      <c r="AA14" s="149" t="s">
        <v>109</v>
      </c>
      <c r="AB14" s="149" t="s">
        <v>110</v>
      </c>
      <c r="AC14" s="149" t="s">
        <v>111</v>
      </c>
      <c r="AD14" s="149" t="s">
        <v>112</v>
      </c>
      <c r="AE14" s="149" t="s">
        <v>113</v>
      </c>
      <c r="AF14" s="149" t="s">
        <v>114</v>
      </c>
      <c r="AG14" s="149" t="s">
        <v>190</v>
      </c>
      <c r="AH14" s="149" t="s">
        <v>191</v>
      </c>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row>
    <row r="15" spans="1:61" x14ac:dyDescent="0.25">
      <c r="A15" s="11">
        <v>2019</v>
      </c>
      <c r="B15" s="7">
        <v>134.30000000000001</v>
      </c>
      <c r="C15" s="7">
        <v>150.9</v>
      </c>
      <c r="D15" s="7">
        <v>152.9</v>
      </c>
      <c r="E15" s="7">
        <v>132</v>
      </c>
      <c r="F15" s="7">
        <v>129.9</v>
      </c>
      <c r="G15" s="7">
        <v>136.1</v>
      </c>
      <c r="H15" s="7">
        <v>137.4</v>
      </c>
      <c r="I15" s="7">
        <v>170.1</v>
      </c>
      <c r="J15" s="7">
        <v>169.5</v>
      </c>
      <c r="K15" s="7">
        <v>140.4</v>
      </c>
      <c r="L15" s="7">
        <v>140.19999999999999</v>
      </c>
      <c r="M15" s="7">
        <v>131.5</v>
      </c>
      <c r="N15" s="101">
        <f t="shared" ref="N15:N21" si="0">IF(COUNTA(B15:M15)&lt;12,"Data Missing",AVERAGE(B15:M15))</f>
        <v>143.76666666666668</v>
      </c>
      <c r="O15" s="103">
        <f t="shared" ref="O15:O21" si="1">IF(COUNTA(B15:M15)=12,1,0)</f>
        <v>1</v>
      </c>
      <c r="P15" s="156"/>
      <c r="Q15" s="152"/>
      <c r="R15" s="338"/>
      <c r="S15" s="152"/>
      <c r="T15" s="11">
        <v>2019</v>
      </c>
      <c r="U15" s="7">
        <v>260.12200000000001</v>
      </c>
      <c r="V15" s="7">
        <v>261.11399999999998</v>
      </c>
      <c r="W15" s="7">
        <v>261.83600000000001</v>
      </c>
      <c r="X15" s="7">
        <v>262.33199999999999</v>
      </c>
      <c r="Y15" s="7">
        <v>262.58999999999997</v>
      </c>
      <c r="Z15" s="7">
        <v>263.17700000000002</v>
      </c>
      <c r="AA15" s="7">
        <v>263.56599999999997</v>
      </c>
      <c r="AB15" s="7">
        <v>264.16899999999998</v>
      </c>
      <c r="AC15" s="7">
        <v>264.52199999999999</v>
      </c>
      <c r="AD15" s="7">
        <v>265.05900000000003</v>
      </c>
      <c r="AE15" s="7">
        <v>265.108</v>
      </c>
      <c r="AF15" s="7">
        <v>264.935</v>
      </c>
      <c r="AG15" s="101">
        <f>IF(COUNTA(U15:AF15)&lt;12,"Data Missing",AVERAGE(U15:AF15))</f>
        <v>263.21083333333337</v>
      </c>
      <c r="AH15" s="103">
        <f>IF(COUNTA(U15:AF15)=12,1,0)</f>
        <v>1</v>
      </c>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row>
    <row r="16" spans="1:61" x14ac:dyDescent="0.25">
      <c r="A16" s="11">
        <f t="shared" ref="A16:A21" si="2">A15+1</f>
        <v>2020</v>
      </c>
      <c r="B16" s="7">
        <v>126.7</v>
      </c>
      <c r="C16" s="7">
        <v>124</v>
      </c>
      <c r="D16" s="7">
        <v>122.6</v>
      </c>
      <c r="E16" s="7">
        <v>120.6</v>
      </c>
      <c r="F16" s="7">
        <v>118.5</v>
      </c>
      <c r="G16" s="7">
        <v>124.9</v>
      </c>
      <c r="H16" s="7">
        <v>134</v>
      </c>
      <c r="I16" s="7">
        <v>153</v>
      </c>
      <c r="J16" s="7">
        <v>139.4</v>
      </c>
      <c r="K16" s="7">
        <v>140.80000000000001</v>
      </c>
      <c r="L16" s="7">
        <v>141.6</v>
      </c>
      <c r="M16" s="7">
        <v>136.5</v>
      </c>
      <c r="N16" s="101">
        <f t="shared" si="0"/>
        <v>131.88333333333333</v>
      </c>
      <c r="O16" s="103">
        <f t="shared" si="1"/>
        <v>1</v>
      </c>
      <c r="P16" s="156"/>
      <c r="Q16" s="152"/>
      <c r="R16" s="338"/>
      <c r="S16" s="152"/>
      <c r="T16" s="11">
        <f t="shared" ref="T16:T21" si="3">T15+1</f>
        <v>2020</v>
      </c>
      <c r="U16" s="7">
        <v>266.00400000000002</v>
      </c>
      <c r="V16" s="7">
        <v>267.26799999999997</v>
      </c>
      <c r="W16" s="7">
        <v>267.31200000000001</v>
      </c>
      <c r="X16" s="7">
        <v>266.089</v>
      </c>
      <c r="Y16" s="7">
        <v>265.79899999999998</v>
      </c>
      <c r="Z16" s="7">
        <v>266.30200000000002</v>
      </c>
      <c r="AA16" s="7">
        <v>267.70299999999997</v>
      </c>
      <c r="AB16" s="7">
        <v>268.75599999999997</v>
      </c>
      <c r="AC16" s="7">
        <v>269.05399999999997</v>
      </c>
      <c r="AD16" s="7">
        <v>269.32799999999997</v>
      </c>
      <c r="AE16" s="7">
        <v>269.47300000000001</v>
      </c>
      <c r="AF16" s="7">
        <v>269.226</v>
      </c>
      <c r="AG16" s="101">
        <f>IF(COUNTA(U16:AF16)&lt;12,"Data Missing",AVERAGE(U16:AF16))</f>
        <v>267.69283333333334</v>
      </c>
      <c r="AH16" s="103">
        <f t="shared" ref="AH16:AH21" si="4">IF(COUNTA(U16:AF16)=12,1,0)</f>
        <v>1</v>
      </c>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row>
    <row r="17" spans="1:61" x14ac:dyDescent="0.25">
      <c r="A17" s="11">
        <f t="shared" si="2"/>
        <v>2021</v>
      </c>
      <c r="B17" s="7">
        <v>133.30000000000001</v>
      </c>
      <c r="C17" s="7">
        <v>744.7</v>
      </c>
      <c r="D17" s="7">
        <v>154.30000000000001</v>
      </c>
      <c r="E17" s="7">
        <v>139.19999999999999</v>
      </c>
      <c r="F17" s="7">
        <v>141.69999999999999</v>
      </c>
      <c r="G17" s="7">
        <v>172.2</v>
      </c>
      <c r="H17" s="7">
        <v>175.846</v>
      </c>
      <c r="I17" s="7">
        <v>181.18799999999999</v>
      </c>
      <c r="J17" s="7">
        <v>187.185</v>
      </c>
      <c r="K17" s="7">
        <v>190.96299999999999</v>
      </c>
      <c r="L17" s="7">
        <v>180.446</v>
      </c>
      <c r="M17" s="7">
        <v>163.065</v>
      </c>
      <c r="N17" s="101">
        <f t="shared" si="0"/>
        <v>213.6744166666667</v>
      </c>
      <c r="O17" s="103">
        <f t="shared" si="1"/>
        <v>1</v>
      </c>
      <c r="P17" s="156"/>
      <c r="Q17" s="152"/>
      <c r="R17" s="338"/>
      <c r="S17" s="152"/>
      <c r="T17" s="11">
        <f t="shared" si="3"/>
        <v>2021</v>
      </c>
      <c r="U17" s="7">
        <v>269.755</v>
      </c>
      <c r="V17" s="7">
        <v>270.69600000000003</v>
      </c>
      <c r="W17" s="7">
        <v>271.71300000000002</v>
      </c>
      <c r="X17" s="7">
        <v>273.96800000000002</v>
      </c>
      <c r="Y17" s="7">
        <v>275.89299999999997</v>
      </c>
      <c r="Z17" s="7">
        <v>278.21800000000002</v>
      </c>
      <c r="AA17" s="7">
        <v>279.14600000000002</v>
      </c>
      <c r="AB17" s="7">
        <v>279.50700000000001</v>
      </c>
      <c r="AC17" s="7">
        <v>279.88400000000001</v>
      </c>
      <c r="AD17" s="7">
        <v>281.61700000000002</v>
      </c>
      <c r="AE17" s="7">
        <v>282.75400000000002</v>
      </c>
      <c r="AF17" s="7">
        <v>283.90800000000002</v>
      </c>
      <c r="AG17" s="101">
        <f t="shared" ref="AG17:AG21" si="5">IF(COUNTA(U17:AF17)&lt;12,"Data Missing",AVERAGE(U17:AF17))</f>
        <v>277.2549166666667</v>
      </c>
      <c r="AH17" s="103">
        <f t="shared" si="4"/>
        <v>1</v>
      </c>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row>
    <row r="18" spans="1:61" x14ac:dyDescent="0.25">
      <c r="A18" s="11">
        <f t="shared" si="2"/>
        <v>2022</v>
      </c>
      <c r="B18" s="7">
        <v>167.911</v>
      </c>
      <c r="C18" s="7">
        <v>168.471</v>
      </c>
      <c r="D18" s="7">
        <v>169.40799999999999</v>
      </c>
      <c r="E18" s="7">
        <v>193.19</v>
      </c>
      <c r="F18" s="7">
        <v>277.66399999999999</v>
      </c>
      <c r="G18" s="7">
        <v>234.33799999999999</v>
      </c>
      <c r="H18" s="7">
        <v>296.08600000000001</v>
      </c>
      <c r="I18" s="7">
        <v>274.91199999999998</v>
      </c>
      <c r="J18" s="7">
        <v>286.887</v>
      </c>
      <c r="K18" s="7">
        <v>207.82400000000001</v>
      </c>
      <c r="L18" s="7">
        <v>194.072</v>
      </c>
      <c r="M18" s="7">
        <v>310.64999999999998</v>
      </c>
      <c r="N18" s="101">
        <f t="shared" si="0"/>
        <v>231.78441666666671</v>
      </c>
      <c r="O18" s="103">
        <f t="shared" si="1"/>
        <v>1</v>
      </c>
      <c r="P18" s="156"/>
      <c r="Q18" s="152"/>
      <c r="R18" s="338"/>
      <c r="S18" s="152"/>
      <c r="T18" s="11">
        <f t="shared" si="3"/>
        <v>2022</v>
      </c>
      <c r="U18" s="7">
        <v>285.99599999999998</v>
      </c>
      <c r="V18" s="7">
        <v>288.05900000000003</v>
      </c>
      <c r="W18" s="7">
        <v>289.30500000000001</v>
      </c>
      <c r="X18" s="7">
        <v>290.846</v>
      </c>
      <c r="Y18" s="7">
        <v>292.50599999999997</v>
      </c>
      <c r="Z18" s="7">
        <v>294.68</v>
      </c>
      <c r="AA18" s="7">
        <v>295.64600000000002</v>
      </c>
      <c r="AB18" s="7">
        <v>297.178</v>
      </c>
      <c r="AC18" s="7">
        <v>298.44200000000001</v>
      </c>
      <c r="AD18" s="7">
        <v>299.315</v>
      </c>
      <c r="AE18" s="7">
        <v>299.60000000000002</v>
      </c>
      <c r="AF18" s="7">
        <v>300.113</v>
      </c>
      <c r="AG18" s="101">
        <f t="shared" si="5"/>
        <v>294.30716666666666</v>
      </c>
      <c r="AH18" s="103">
        <f t="shared" si="4"/>
        <v>1</v>
      </c>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row>
    <row r="19" spans="1:61" x14ac:dyDescent="0.25">
      <c r="A19" s="11">
        <f t="shared" si="2"/>
        <v>2023</v>
      </c>
      <c r="B19" s="7">
        <v>265.846</v>
      </c>
      <c r="C19" s="7">
        <v>165.24100000000001</v>
      </c>
      <c r="D19" s="7">
        <v>175.31399999999999</v>
      </c>
      <c r="E19" s="7">
        <v>153.93600000000001</v>
      </c>
      <c r="F19" s="7">
        <v>136.17599999999999</v>
      </c>
      <c r="G19" s="7">
        <v>150.92599999999999</v>
      </c>
      <c r="H19" s="7">
        <v>178.78899999999999</v>
      </c>
      <c r="I19" s="7">
        <v>280.48200000000003</v>
      </c>
      <c r="J19" s="7">
        <v>201.846</v>
      </c>
      <c r="K19" s="7">
        <v>159.477</v>
      </c>
      <c r="L19" s="7">
        <v>167.464</v>
      </c>
      <c r="M19" s="7">
        <v>155.54300000000001</v>
      </c>
      <c r="N19" s="101">
        <f t="shared" si="0"/>
        <v>182.58666666666667</v>
      </c>
      <c r="O19" s="103">
        <f t="shared" si="1"/>
        <v>1</v>
      </c>
      <c r="P19" s="156"/>
      <c r="Q19" s="152"/>
      <c r="R19" s="338"/>
      <c r="S19" s="152"/>
      <c r="T19" s="11">
        <f t="shared" si="3"/>
        <v>2023</v>
      </c>
      <c r="U19" s="7">
        <v>301.96199999999999</v>
      </c>
      <c r="V19" s="7">
        <v>304.01100000000002</v>
      </c>
      <c r="W19" s="7">
        <v>305.476</v>
      </c>
      <c r="X19" s="7">
        <v>306.899</v>
      </c>
      <c r="Y19" s="7">
        <v>308.096</v>
      </c>
      <c r="Z19" s="7">
        <v>308.91000000000003</v>
      </c>
      <c r="AA19" s="7">
        <v>309.40199999999999</v>
      </c>
      <c r="AB19" s="7">
        <v>310.10300000000001</v>
      </c>
      <c r="AC19" s="7">
        <v>310.81700000000001</v>
      </c>
      <c r="AD19" s="7">
        <v>311.38</v>
      </c>
      <c r="AE19" s="7">
        <v>311.60599999999999</v>
      </c>
      <c r="AF19" s="7">
        <v>311.90699999999998</v>
      </c>
      <c r="AG19" s="101">
        <f t="shared" si="5"/>
        <v>308.38075000000003</v>
      </c>
      <c r="AH19" s="103">
        <f t="shared" si="4"/>
        <v>1</v>
      </c>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row>
    <row r="20" spans="1:61" x14ac:dyDescent="0.25">
      <c r="A20" s="11">
        <f t="shared" si="2"/>
        <v>2024</v>
      </c>
      <c r="B20" s="7">
        <v>194.34700000000001</v>
      </c>
      <c r="C20" s="7">
        <v>147.351</v>
      </c>
      <c r="D20" s="7">
        <v>142.83099999999999</v>
      </c>
      <c r="E20" s="7">
        <v>136.608</v>
      </c>
      <c r="F20" s="7">
        <v>155.6</v>
      </c>
      <c r="G20" s="7">
        <v>146.79400000000001</v>
      </c>
      <c r="H20" s="7">
        <v>171.11699999999999</v>
      </c>
      <c r="I20" s="7">
        <v>170.346</v>
      </c>
      <c r="J20" s="7">
        <v>165.81899999999999</v>
      </c>
      <c r="K20" s="7">
        <v>160.864</v>
      </c>
      <c r="L20" s="7">
        <v>141.60900000000001</v>
      </c>
      <c r="M20" s="7">
        <v>159.06200000000001</v>
      </c>
      <c r="N20" s="101">
        <f t="shared" si="0"/>
        <v>157.69566666666665</v>
      </c>
      <c r="O20" s="103">
        <f t="shared" si="1"/>
        <v>1</v>
      </c>
      <c r="P20" s="156"/>
      <c r="Q20" s="243"/>
      <c r="R20" s="339"/>
      <c r="S20" s="152"/>
      <c r="T20" s="11">
        <f t="shared" si="3"/>
        <v>2024</v>
      </c>
      <c r="U20" s="7">
        <v>313.62299999999999</v>
      </c>
      <c r="V20" s="7">
        <v>315.41899999999998</v>
      </c>
      <c r="W20" s="7">
        <v>317.08800000000002</v>
      </c>
      <c r="X20" s="7">
        <v>317.97800000000001</v>
      </c>
      <c r="Y20" s="7">
        <v>318.62900000000002</v>
      </c>
      <c r="Z20" s="7">
        <v>319.00299999999999</v>
      </c>
      <c r="AA20" s="7">
        <v>319.214</v>
      </c>
      <c r="AB20" s="7">
        <v>320.017</v>
      </c>
      <c r="AC20" s="7">
        <v>321.10899999999998</v>
      </c>
      <c r="AD20" s="7">
        <v>321.75799999999998</v>
      </c>
      <c r="AE20" s="7">
        <v>321.947</v>
      </c>
      <c r="AF20" s="7">
        <v>322.00700000000001</v>
      </c>
      <c r="AG20" s="101">
        <f t="shared" si="5"/>
        <v>318.98266666666666</v>
      </c>
      <c r="AH20" s="103">
        <f t="shared" si="4"/>
        <v>1</v>
      </c>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row>
    <row r="21" spans="1:61" x14ac:dyDescent="0.25">
      <c r="A21" s="11">
        <f t="shared" si="2"/>
        <v>2025</v>
      </c>
      <c r="B21" s="7">
        <v>160.23400000000001</v>
      </c>
      <c r="C21" s="7">
        <v>165.95</v>
      </c>
      <c r="D21" s="7">
        <v>153.00399999999999</v>
      </c>
      <c r="E21" s="7">
        <v>149.477</v>
      </c>
      <c r="F21" s="7">
        <v>153.07</v>
      </c>
      <c r="G21" s="7">
        <v>157.994</v>
      </c>
      <c r="H21" s="7"/>
      <c r="I21" s="7"/>
      <c r="J21" s="7"/>
      <c r="K21" s="7"/>
      <c r="L21" s="7"/>
      <c r="M21" s="7"/>
      <c r="N21" s="101" t="str">
        <f t="shared" si="0"/>
        <v>Data Missing</v>
      </c>
      <c r="O21" s="103">
        <f t="shared" si="1"/>
        <v>0</v>
      </c>
      <c r="P21" s="156"/>
      <c r="Q21" s="152"/>
      <c r="R21" s="152"/>
      <c r="S21" s="152"/>
      <c r="T21" s="11">
        <f t="shared" si="3"/>
        <v>2025</v>
      </c>
      <c r="U21" s="7">
        <v>323.84199999999998</v>
      </c>
      <c r="V21" s="7">
        <v>325.25200000000001</v>
      </c>
      <c r="W21" s="7">
        <v>325.93299999999999</v>
      </c>
      <c r="X21" s="7">
        <v>326.815</v>
      </c>
      <c r="Y21" s="7">
        <v>327.50900000000001</v>
      </c>
      <c r="Z21" s="7">
        <v>328.36399999999998</v>
      </c>
      <c r="AA21" s="7"/>
      <c r="AB21" s="7"/>
      <c r="AC21" s="7"/>
      <c r="AD21" s="7"/>
      <c r="AE21" s="7"/>
      <c r="AF21" s="7"/>
      <c r="AG21" s="101" t="str">
        <f t="shared" si="5"/>
        <v>Data Missing</v>
      </c>
      <c r="AH21" s="103">
        <f t="shared" si="4"/>
        <v>0</v>
      </c>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row>
    <row r="22" spans="1:61" x14ac:dyDescent="0.25">
      <c r="A22" s="150"/>
      <c r="B22" s="151"/>
      <c r="C22" s="151"/>
      <c r="D22" s="151"/>
      <c r="E22" s="151"/>
      <c r="F22" s="151"/>
      <c r="G22" s="151"/>
      <c r="H22" s="151"/>
      <c r="I22" s="151"/>
      <c r="J22" s="151"/>
      <c r="K22" s="176"/>
      <c r="L22" s="151"/>
      <c r="M22" s="178" t="s">
        <v>193</v>
      </c>
      <c r="N22" s="102">
        <f ca="1">(OFFSET($N$14,SUM($O$15:$O$21),0,1,1)/OFFSET($N$14,SUM($O$15:$O$21)-(B12-1),0,1,1))^(1/B12)-1</f>
        <v>3.6396574359759848E-2</v>
      </c>
      <c r="O22" s="111"/>
      <c r="P22" s="156"/>
      <c r="Q22" s="152"/>
      <c r="R22" s="152"/>
      <c r="S22" s="152"/>
      <c r="T22" s="150"/>
      <c r="U22" s="151"/>
      <c r="V22" s="151"/>
      <c r="W22" s="151"/>
      <c r="X22" s="151"/>
      <c r="Y22" s="151"/>
      <c r="Z22" s="151"/>
      <c r="AA22" s="151"/>
      <c r="AB22" s="151"/>
      <c r="AC22" s="151"/>
      <c r="AD22" s="176"/>
      <c r="AE22" s="151"/>
      <c r="AF22" s="178" t="s">
        <v>194</v>
      </c>
      <c r="AG22" s="242">
        <f ca="1">(OFFSET($AG$14,SUM($AH$15:$AH$21),0,1,1)/OFFSET($AG$14,SUM($AH$15:$AH$21)-(B12-1),0,1,1))^(1/B12)-1</f>
        <v>3.5681140669277189E-2</v>
      </c>
      <c r="AH22" s="111"/>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row>
    <row r="23" spans="1:61" x14ac:dyDescent="0.25">
      <c r="A23" s="152"/>
      <c r="B23" s="152"/>
      <c r="C23" s="152"/>
      <c r="D23" s="152"/>
      <c r="E23" s="83"/>
      <c r="F23" s="152"/>
      <c r="G23" s="152"/>
      <c r="H23" s="152"/>
      <c r="I23" s="152"/>
      <c r="J23" s="152"/>
      <c r="K23" s="152"/>
      <c r="L23" s="150"/>
      <c r="M23" s="178" t="s">
        <v>194</v>
      </c>
      <c r="N23" s="177">
        <f ca="1">AG22</f>
        <v>3.5681140669277189E-2</v>
      </c>
      <c r="O23" s="152"/>
      <c r="P23" s="156"/>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row>
    <row r="24" spans="1:61" x14ac:dyDescent="0.25">
      <c r="A24" s="152"/>
      <c r="B24" s="152"/>
      <c r="C24" s="152"/>
      <c r="D24" s="152"/>
      <c r="E24" s="152"/>
      <c r="F24" s="152"/>
      <c r="G24" s="152"/>
      <c r="H24" s="152"/>
      <c r="I24" s="152"/>
      <c r="J24" s="152"/>
      <c r="K24" s="152"/>
      <c r="L24" s="150"/>
      <c r="M24" s="178" t="s">
        <v>195</v>
      </c>
      <c r="N24" s="102">
        <f ca="1">IF(N23&gt;N22,0,N22-N23)</f>
        <v>7.1543369048265859E-4</v>
      </c>
      <c r="O24" s="152"/>
      <c r="P24" s="156"/>
      <c r="Q24" s="157"/>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row>
    <row r="25" spans="1:61" x14ac:dyDescent="0.25">
      <c r="A25" s="152"/>
      <c r="B25" s="152"/>
      <c r="C25" s="152"/>
      <c r="D25" s="152"/>
      <c r="E25" s="152"/>
      <c r="F25" s="152"/>
      <c r="G25" s="152"/>
      <c r="H25" s="152"/>
      <c r="I25" s="152"/>
      <c r="J25" s="152"/>
      <c r="K25" s="152"/>
      <c r="L25" s="152"/>
      <c r="M25" s="152"/>
      <c r="N25" s="152"/>
      <c r="O25" s="152"/>
      <c r="P25" s="111"/>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row>
    <row r="26" spans="1:61" s="152" customFormat="1" x14ac:dyDescent="0.25"/>
    <row r="27" spans="1:61" s="152" customFormat="1" x14ac:dyDescent="0.25"/>
    <row r="28" spans="1:61" s="152" customFormat="1" x14ac:dyDescent="0.25"/>
    <row r="29" spans="1:61" s="152" customFormat="1" x14ac:dyDescent="0.25"/>
    <row r="30" spans="1:61" s="152" customFormat="1" x14ac:dyDescent="0.25"/>
    <row r="31" spans="1:61" s="152" customFormat="1" x14ac:dyDescent="0.25"/>
    <row r="32" spans="1:61" s="152" customFormat="1" x14ac:dyDescent="0.25"/>
    <row r="33" s="152" customFormat="1" x14ac:dyDescent="0.25"/>
    <row r="34" s="152" customFormat="1" x14ac:dyDescent="0.25"/>
    <row r="35" s="152" customFormat="1" x14ac:dyDescent="0.25"/>
    <row r="36" s="152" customFormat="1" x14ac:dyDescent="0.25"/>
    <row r="37" s="152" customFormat="1" x14ac:dyDescent="0.25"/>
    <row r="38" s="152" customFormat="1" x14ac:dyDescent="0.25"/>
    <row r="39" s="152" customFormat="1" x14ac:dyDescent="0.25"/>
    <row r="40" s="152" customFormat="1" x14ac:dyDescent="0.25"/>
    <row r="41" s="152" customFormat="1" x14ac:dyDescent="0.25"/>
    <row r="42" s="152" customFormat="1" x14ac:dyDescent="0.25"/>
    <row r="43" s="152" customFormat="1" x14ac:dyDescent="0.25"/>
    <row r="44" s="152" customFormat="1" x14ac:dyDescent="0.25"/>
    <row r="45" s="152" customFormat="1" x14ac:dyDescent="0.25"/>
    <row r="46" s="152" customFormat="1" x14ac:dyDescent="0.25"/>
    <row r="47" s="152" customFormat="1" x14ac:dyDescent="0.25"/>
    <row r="48" s="152" customFormat="1" x14ac:dyDescent="0.25"/>
    <row r="49" spans="1:34" s="152" customFormat="1" x14ac:dyDescent="0.25"/>
    <row r="50" spans="1:34" s="152" customFormat="1" x14ac:dyDescent="0.25"/>
    <row r="51" spans="1:34" s="152" customFormat="1" x14ac:dyDescent="0.25"/>
    <row r="52" spans="1:34" s="152" customFormat="1" x14ac:dyDescent="0.25"/>
    <row r="53" spans="1:34" s="152" customFormat="1" x14ac:dyDescent="0.25"/>
    <row r="54" spans="1:34" s="152" customFormat="1" x14ac:dyDescent="0.25"/>
    <row r="55" spans="1:34" s="152" customFormat="1" x14ac:dyDescent="0.25"/>
    <row r="56" spans="1:34" s="152" customFormat="1" x14ac:dyDescent="0.25"/>
    <row r="57" spans="1:34" s="152" customFormat="1" x14ac:dyDescent="0.25"/>
    <row r="58" spans="1:34" s="152" customFormat="1" x14ac:dyDescent="0.25">
      <c r="A58" s="6"/>
      <c r="B58" s="6"/>
      <c r="C58" s="6"/>
      <c r="D58" s="6"/>
      <c r="E58" s="6"/>
      <c r="F58" s="6"/>
      <c r="G58" s="6"/>
      <c r="H58" s="6"/>
      <c r="I58" s="6"/>
      <c r="J58" s="6"/>
      <c r="K58" s="6"/>
      <c r="L58" s="6"/>
      <c r="M58" s="6"/>
      <c r="N58" s="6"/>
      <c r="O58" s="6"/>
      <c r="T58" s="6"/>
      <c r="U58" s="6"/>
      <c r="V58" s="6"/>
      <c r="W58" s="6"/>
      <c r="X58" s="6"/>
      <c r="Y58" s="6"/>
      <c r="Z58" s="6"/>
      <c r="AA58" s="6"/>
      <c r="AB58" s="6"/>
      <c r="AC58" s="6"/>
      <c r="AD58" s="6"/>
      <c r="AE58" s="6"/>
      <c r="AF58" s="6"/>
      <c r="AG58" s="6"/>
      <c r="AH58" s="6"/>
    </row>
    <row r="59" spans="1:34" s="152" customFormat="1" x14ac:dyDescent="0.25">
      <c r="A59" s="6"/>
      <c r="B59" s="6"/>
      <c r="C59" s="6"/>
      <c r="D59" s="6"/>
      <c r="E59" s="6"/>
      <c r="F59" s="6"/>
      <c r="G59" s="6"/>
      <c r="H59" s="6"/>
      <c r="I59" s="6"/>
      <c r="J59" s="6"/>
      <c r="K59" s="6"/>
      <c r="L59" s="6"/>
      <c r="M59" s="6"/>
      <c r="N59" s="6"/>
      <c r="O59" s="6"/>
      <c r="T59" s="6"/>
      <c r="U59" s="6"/>
      <c r="V59" s="6"/>
      <c r="W59" s="6"/>
      <c r="X59" s="6"/>
      <c r="Y59" s="6"/>
      <c r="Z59" s="6"/>
      <c r="AA59" s="6"/>
      <c r="AB59" s="6"/>
      <c r="AC59" s="6"/>
      <c r="AD59" s="6"/>
      <c r="AE59" s="6"/>
      <c r="AF59" s="6"/>
      <c r="AG59" s="6"/>
      <c r="AH59" s="6"/>
    </row>
    <row r="60" spans="1:34" s="152" customFormat="1" x14ac:dyDescent="0.25">
      <c r="A60" s="6"/>
      <c r="B60" s="6"/>
      <c r="C60" s="6"/>
      <c r="D60" s="6"/>
      <c r="E60" s="6"/>
      <c r="F60" s="6"/>
      <c r="G60" s="6"/>
      <c r="H60" s="6"/>
      <c r="I60" s="6"/>
      <c r="J60" s="6"/>
      <c r="K60" s="6"/>
      <c r="L60" s="6"/>
      <c r="M60" s="6"/>
      <c r="N60" s="6"/>
      <c r="O60" s="6"/>
      <c r="T60" s="6"/>
      <c r="U60" s="6"/>
      <c r="V60" s="6"/>
      <c r="W60" s="6"/>
      <c r="X60" s="6"/>
      <c r="Y60" s="6"/>
      <c r="Z60" s="6"/>
      <c r="AA60" s="6"/>
      <c r="AB60" s="6"/>
      <c r="AC60" s="6"/>
      <c r="AD60" s="6"/>
      <c r="AE60" s="6"/>
      <c r="AF60" s="6"/>
      <c r="AG60" s="6"/>
      <c r="AH60" s="6"/>
    </row>
  </sheetData>
  <mergeCells count="11">
    <mergeCell ref="A1:F1"/>
    <mergeCell ref="A2:F2"/>
    <mergeCell ref="A3:F3"/>
    <mergeCell ref="B5:F5"/>
    <mergeCell ref="B6:F6"/>
    <mergeCell ref="B4:F4"/>
    <mergeCell ref="R14:R20"/>
    <mergeCell ref="B7:F7"/>
    <mergeCell ref="B8:F8"/>
    <mergeCell ref="B9:F9"/>
    <mergeCell ref="B10:F10"/>
  </mergeCells>
  <hyperlinks>
    <hyperlink ref="B4" r:id="rId1" xr:uid="{C35EBE34-FC40-47F7-8EC7-5E04CD5C521B}"/>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roperties xmlns="http://www.imanage.com/work/xmlschema">
  <documentid>FIRMDMS!56826612.1</documentid>
  <senderid>7901</senderid>
  <senderemail>KRUTI.PATEL@SAUL.COM</senderemail>
  <lastmodified>2025-11-05T13:44:30.0000000-05:00</lastmodified>
  <database>FIRMDMS</database>
</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c9e4e54f0bfd1871153ef68d1edf90c0">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8c191b50177a666d3b7bf579004494f8"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2E376357-9BCE-4E07-93F0-042023E047F4}">
  <ds:schemaRefs>
    <ds:schemaRef ds:uri="http://www.imanage.com/work/xmlschema"/>
  </ds:schemaRefs>
</ds:datastoreItem>
</file>

<file path=customXml/itemProps2.xml><?xml version="1.0" encoding="utf-8"?>
<ds:datastoreItem xmlns:ds="http://schemas.openxmlformats.org/officeDocument/2006/customXml" ds:itemID="{E64C355D-E587-46F7-A839-F1C3C25A0961}">
  <ds:schemaRefs>
    <ds:schemaRef ds:uri="http://schemas.microsoft.com/sharepoint/v3/contenttype/forms"/>
  </ds:schemaRefs>
</ds:datastoreItem>
</file>

<file path=customXml/itemProps3.xml><?xml version="1.0" encoding="utf-8"?>
<ds:datastoreItem xmlns:ds="http://schemas.openxmlformats.org/officeDocument/2006/customXml" ds:itemID="{83CE9BC7-62D5-41FD-ACC0-AB6908A4EE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B72E6C1-2549-48C8-B977-BBC4CED07344}">
  <ds:schemaRefs>
    <ds:schemaRef ds:uri="http://schemas.microsoft.com/office/2006/metadata/properties"/>
    <ds:schemaRef ds:uri="http://schemas.microsoft.com/office/infopath/2007/PartnerControls"/>
    <ds:schemaRef ds:uri="823c690f-1428-4b7b-913c-f8e8cae1aa4a"/>
    <ds:schemaRef ds:uri="7c11c9e6-3ed6-44a7-bb50-2b402fc6d8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18</vt:i4>
      </vt:variant>
    </vt:vector>
  </HeadingPairs>
  <TitlesOfParts>
    <vt:vector size="35" baseType="lpstr">
      <vt:lpstr>General Instructions</vt:lpstr>
      <vt:lpstr>General Inputs</vt:lpstr>
      <vt:lpstr>Output (non-LI)</vt:lpstr>
      <vt:lpstr>LI Output</vt:lpstr>
      <vt:lpstr>Elec Futures</vt:lpstr>
      <vt:lpstr>NG Futures</vt:lpstr>
      <vt:lpstr>Avoided AC</vt:lpstr>
      <vt:lpstr>Adjustments</vt:lpstr>
      <vt:lpstr>BLS Input</vt:lpstr>
      <vt:lpstr>Generation Capacity</vt:lpstr>
      <vt:lpstr>T&amp;D Capacity</vt:lpstr>
      <vt:lpstr>AEPS</vt:lpstr>
      <vt:lpstr>DRIPE</vt:lpstr>
      <vt:lpstr>Arrearages</vt:lpstr>
      <vt:lpstr>Six Period Loadshapes</vt:lpstr>
      <vt:lpstr>PJM_SOM</vt:lpstr>
      <vt:lpstr>Lookups</vt:lpstr>
      <vt:lpstr>BLS_Esc_Rate</vt:lpstr>
      <vt:lpstr>EDC_NAME</vt:lpstr>
      <vt:lpstr>Elec_Off_Peak</vt:lpstr>
      <vt:lpstr>Elec_On_Peak</vt:lpstr>
      <vt:lpstr>ELEC_Zone_Adjust</vt:lpstr>
      <vt:lpstr>Gas_EIA</vt:lpstr>
      <vt:lpstr>Gas_EIA2</vt:lpstr>
      <vt:lpstr>HR_High_Plant</vt:lpstr>
      <vt:lpstr>HR_Low_Plant</vt:lpstr>
      <vt:lpstr>Inflation</vt:lpstr>
      <vt:lpstr>Inflation_Rate</vt:lpstr>
      <vt:lpstr>NG_Load_Shape</vt:lpstr>
      <vt:lpstr>NG_Zone_Adjust</vt:lpstr>
      <vt:lpstr>Seasons</vt:lpstr>
      <vt:lpstr>Spark_Spread_Off</vt:lpstr>
      <vt:lpstr>Spark_Spread_On</vt:lpstr>
      <vt:lpstr>Start_Year</vt:lpstr>
      <vt:lpstr>Start_Year_PY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B</dc:creator>
  <cp:keywords/>
  <dc:description/>
  <cp:lastModifiedBy>Leonard, Allyson</cp:lastModifiedBy>
  <cp:revision/>
  <dcterms:created xsi:type="dcterms:W3CDTF">2019-05-02T17:45:19Z</dcterms:created>
  <dcterms:modified xsi:type="dcterms:W3CDTF">2025-11-26T17:11:11Z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A44787D4-0540-4523-9961-78E4036D8C6D}">
    <vt:lpwstr>{0037B4D8-951E-4AA4-809A-DD9CC321F239}</vt:lpwstr>
  </property>
  <property fmtid="{D5CDD505-2E9C-101B-9397-08002B2CF9AE}" pid="4" name="MediaServiceImageTags">
    <vt:lpwstr/>
  </property>
  <property fmtid="{D5CDD505-2E9C-101B-9397-08002B2CF9AE}" pid="5" name="_dlc_DocIdItemGuid">
    <vt:lpwstr>34e56b9d-5570-4170-9ada-9d9528ccf770</vt:lpwstr>
  </property>
</Properties>
</file>