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23" documentId="13_ncr:1_{49A71EAA-AD45-48A2-A108-5E5A212011F2}" xr6:coauthVersionLast="47" xr6:coauthVersionMax="47" xr10:uidLastSave="{66D46213-E47D-473D-B8BA-45260234ECD0}"/>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<sst xmlns="http://schemas.openxmlformats.org/spreadsheetml/2006/main" count="2575" uniqueCount="1283">
  <si>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</si>
  <si>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</si>
  <si>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</si>
  <si>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</si>
  <si>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</si>
  <si>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</si>
  <si>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</si>
  <si>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</si>
  <si>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</si>
  <si>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</si>
  <si>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</si>
  <si>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</si>
  <si>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</si>
  <si>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</si>
  <si>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</si>
  <si>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</si>
  <si>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</si>
  <si>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</si>
  <si>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</si>
  <si>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</si>
  <si>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</si>
  <si>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</si>
  <si>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</si>
  <si>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</si>
  <si>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</si>
  <si>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</si>
  <si>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</si>
  <si>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</si>
  <si>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</si>
  <si>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</si>
  <si>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</si>
  <si>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</si>
  <si>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</si>
  <si>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</si>
  <si>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</si>
  <si>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</si>
  <si>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</si>
  <si>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</si>
  <si>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</si>
  <si>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</si>
  <si>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</si>
  <si>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</si>
  <si>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</si>
  <si>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</si>
  <si>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</si>
  <si>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</si>
  <si>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</si>
  <si>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</si>
  <si>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</si>
  <si>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</si>
  <si>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</si>
  <si>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</si>
  <si>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</si>
  <si>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</si>
  <si>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</si>
  <si>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</si>
  <si>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</si>
  <si>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</si>
  <si>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</si>
  <si>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</si>
  <si>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</si>
  <si>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</si>
  <si>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</si>
  <si>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</si>
  <si>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</si>
  <si>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</si>
  <si>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</si>
  <si>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</si>
  <si>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</si>
  <si>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</si>
  <si>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</si>
  <si>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</si>
  <si>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</si>
  <si>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</si>
  <si>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</si>
  <si>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</si>
  <si>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</si>
  <si>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</si>
  <si>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</si>
  <si>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</si>
  <si>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</si>
  <si>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</si>
  <si>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</si>
  <si>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</si>
  <si>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</si>
  <si>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</si>
  <si>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</si>
  <si>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</si>
  <si>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</si>
  <si>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</si>
  <si>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</si>
  <si>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</si>
  <si>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</si>
  <si>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</si>
  <si>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</si>
  <si>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</si>
  <si>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</si>
  <si>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</si>
  <si>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</si>
  <si>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</si>
  <si>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</si>
  <si>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</si>
  <si>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</si>
  <si>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</si>
  <si>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</si>
  <si>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</si>
  <si>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</si>
  <si>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</si>
  <si>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</si>
  <si>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</si>
  <si>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</si>
  <si>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</si>
  <si>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</si>
  <si>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</si>
  <si>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</si>
  <si>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</si>
  <si>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</si>
  <si>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</si>
  <si>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</si>
  <si>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</si>
  <si>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</si>
  <si>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</si>
  <si>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</si>
  <si>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</si>
  <si>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</si>
  <si>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</si>
  <si>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</si>
  <si>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</si>
  <si>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</si>
  <si>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</si>
  <si>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</si>
  <si>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</si>
  <si>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</si>
  <si>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</si>
  <si>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</si>
  <si>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</si>
  <si>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</si>
  <si>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</si>
  <si>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</si>
  <si>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</si>
  <si>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</si>
  <si>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</si>
  <si>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</si>
  <si>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</si>
  <si>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</si>
  <si>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</si>
  <si>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</si>
  <si>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</si>
  <si>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</si>
  <si>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</si>
  <si>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</si>
  <si>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</si>
  <si>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</si>
  <si>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</si>
  <si>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</si>
  <si>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</si>
  <si>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</si>
  <si>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</si>
  <si>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</si>
  <si>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</si>
  <si>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</si>
  <si>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</si>
  <si>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</si>
  <si>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</si>
  <si>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</si>
  <si>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</si>
  <si>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</si>
  <si>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</si>
  <si>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</si>
  <si>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</si>
  <si>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</si>
  <si>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</si>
  <si>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</si>
  <si>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</si>
  <si>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</si>
  <si>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</si>
  <si>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</si>
  <si>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</si>
  <si>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</si>
  <si>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</si>
  <si>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</si>
  <si>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</si>
  <si>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</si>
  <si>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</si>
  <si>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</si>
  <si>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</si>
  <si>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</si>
  <si>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</si>
  <si>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</si>
  <si>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</si>
  <si>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</si>
  <si>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</si>
  <si>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</si>
  <si>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</si>
  <si>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</si>
  <si>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</si>
  <si>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</si>
  <si>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</si>
  <si>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</si>
  <si>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</si>
  <si>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</si>
  <si>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</si>
  <si>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</si>
  <si>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</si>
  <si>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</si>
  <si>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</si>
  <si>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</si>
  <si>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</si>
  <si>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</si>
  <si>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</si>
  <si>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</si>
  <si>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</si>
  <si>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</si>
  <si>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</si>
  <si>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</si>
  <si>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</si>
  <si>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</si>
  <si>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</si>
  <si>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</si>
  <si>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</si>
  <si>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</si>
  <si>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</si>
  <si>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</si>
  <si>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</si>
  <si>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</si>
  <si>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</si>
  <si>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</si>
  <si>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</si>
  <si>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</si>
  <si>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</si>
  <si>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</si>
  <si>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</si>
  <si>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</si>
  <si>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</si>
  <si>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</si>
  <si>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</si>
  <si>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</si>
  <si>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</si>
  <si>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</si>
  <si>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</si>
  <si>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</si>
  <si>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</si>
  <si>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</si>
  <si>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</si>
  <si>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</si>
  <si>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</si>
  <si>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</si>
  <si>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</si>
  <si>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</si>
  <si>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</si>
  <si>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</si>
  <si>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</si>
  <si>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</si>
  <si>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</si>
  <si>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</si>
  <si>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</si>
  <si>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</si>
  <si>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</si>
  <si>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</si>
  <si>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</si>
  <si>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</si>
  <si>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</si>
  <si>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</si>
  <si>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</si>
  <si>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</si>
  <si>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</si>
  <si>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</si>
  <si>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</si>
  <si>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</si>
  <si>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</si>
  <si>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</si>
  <si>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</si>
  <si>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</si>
  <si>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</si>
  <si>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</si>
  <si>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</si>
  <si>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</si>
  <si>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</si>
  <si>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</si>
  <si>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</si>
  <si>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</si>
  <si>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</si>
  <si>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</si>
  <si>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</si>
  <si>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</si>
  <si>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</si>
  <si>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</si>
  <si>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</si>
  <si>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</si>
  <si>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</si>
  <si>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</si>
  <si>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</si>
  <si>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</si>
  <si>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</si>
  <si>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</si>
  <si>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</si>
  <si>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</si>
  <si>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</si>
  <si>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</si>
  <si>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</si>
  <si>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</si>
  <si>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</si>
  <si>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</si>
  <si>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</si>
  <si>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</si>
  <si>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</si>
  <si>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</si>
  <si>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</si>
  <si>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</si>
  <si>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</si>
  <si>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</si>
  <si>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</si>
  <si>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</si>
  <si>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</si>
  <si>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</si>
  <si>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</si>
  <si>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</si>
  <si>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</si>
  <si>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</si>
  <si>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</si>
  <si>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</si>
  <si>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</si>
  <si>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</si>
  <si>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</si>
  <si>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</si>
  <si>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</si>
  <si>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</si>
  <si>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</si>
  <si>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</si>
  <si>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</si>
  <si>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</si>
  <si>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</si>
  <si>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</si>
  <si>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</si>
  <si>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</si>
  <si>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</si>
  <si>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</si>
  <si>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</si>
  <si>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</si>
  <si>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</si>
  <si>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</si>
  <si>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</si>
  <si>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</si>
  <si>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</si>
  <si>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</si>
  <si>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</si>
  <si>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</si>
  <si>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</si>
  <si>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</si>
  <si>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</si>
  <si>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</si>
  <si>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</si>
  <si>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</si>
  <si>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</si>
  <si>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</si>
  <si>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</si>
  <si>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</si>
  <si>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</si>
  <si>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</si>
  <si>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</si>
  <si>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</si>
  <si>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</si>
  <si>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</si>
  <si>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</si>
  <si>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</si>
  <si>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</si>
  <si>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</si>
  <si>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</si>
  <si>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</si>
  <si>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</si>
  <si>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</si>
  <si>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</si>
  <si>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</si>
  <si>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</si>
  <si>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</si>
  <si>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</si>
  <si>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</si>
  <si>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</si>
  <si>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</si>
  <si>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</si>
  <si>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</si>
  <si>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</si>
  <si>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</si>
  <si>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</si>
  <si>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</si>
  <si>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</si>
  <si>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</si>
  <si>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</si>
  <si>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</si>
  <si>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</si>
  <si>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</si>
  <si>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</si>
  <si>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</si>
  <si>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</si>
  <si>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</si>
  <si>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</si>
  <si>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</si>
  <si>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</si>
  <si>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</si>
  <si>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</si>
  <si>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</si>
  <si>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</si>
  <si>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</si>
  <si>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</si>
  <si>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</si>
  <si>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</si>
  <si>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</si>
  <si>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</si>
  <si>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</si>
  <si>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</si>
  <si>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</si>
  <si>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</si>
  <si>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</si>
  <si>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</si>
  <si>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</si>
  <si>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</si>
  <si>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</si>
  <si>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</si>
  <si>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</si>
  <si>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</si>
  <si>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</si>
  <si>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</si>
  <si>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</si>
  <si>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</si>
  <si>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</si>
  <si>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</si>
  <si>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</si>
  <si>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</si>
  <si>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</si>
  <si>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</si>
  <si>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</si>
  <si>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</si>
  <si>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</si>
  <si>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</si>
  <si>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</si>
  <si>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</si>
  <si>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</si>
  <si>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</si>
  <si>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</si>
  <si>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</si>
  <si>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</si>
  <si>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</si>
  <si>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</si>
  <si>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</si>
  <si>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</si>
  <si>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</si>
  <si>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</si>
  <si>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</si>
  <si>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</si>
  <si>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</si>
  <si>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</si>
  <si>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</si>
  <si>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</si>
  <si>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</si>
  <si>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</si>
  <si>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</si>
  <si>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</si>
  <si>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</si>
  <si>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</si>
  <si>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</si>
  <si>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</si>
  <si>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</si>
  <si>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</si>
  <si>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</si>
  <si>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</si>
  <si>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</si>
  <si>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</si>
  <si>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</si>
  <si>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</si>
  <si>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</si>
  <si>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</si>
  <si>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</si>
  <si>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</si>
  <si>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</si>
  <si>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</si>
  <si>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</si>
  <si>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</si>
  <si>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</si>
  <si>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</si>
  <si>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</si>
  <si>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</si>
  <si>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</si>
  <si>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</si>
  <si>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</si>
  <si>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</si>
  <si>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</si>
  <si>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</si>
  <si>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</si>
  <si>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</si>
  <si>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</si>
  <si>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</si>
  <si>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</si>
  <si>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</si>
  <si>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</si>
  <si>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</si>
  <si>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</si>
  <si>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</si>
  <si>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</si>
  <si>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</si>
  <si>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</si>
  <si>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</si>
  <si>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</si>
  <si>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</si>
  <si>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</si>
  <si>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</si>
  <si>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</si>
  <si>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</si>
  <si>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</si>
  <si>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</si>
  <si>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</si>
  <si>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</si>
  <si>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</si>
  <si>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</si>
  <si>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</si>
  <si>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</si>
  <si>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</si>
  <si>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</si>
  <si>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</si>
  <si>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</si>
  <si>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</si>
  <si>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</si>
  <si>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</si>
  <si>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</si>
  <si>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</si>
  <si>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</si>
  <si>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</si>
  <si>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</si>
  <si>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</si>
  <si>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</si>
  <si>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</si>
  <si>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</si>
  <si>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</si>
  <si>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</si>
  <si>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</si>
  <si>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</si>
  <si>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</si>
  <si>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</si>
  <si>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</si>
  <si>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</si>
  <si>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</si>
  <si>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</si>
  <si>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</si>
  <si>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</si>
  <si>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</si>
  <si>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</si>
  <si>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</si>
  <si>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</si>
  <si>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</si>
  <si>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</si>
  <si>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</si>
  <si>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</si>
  <si>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</si>
  <si>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</si>
  <si>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</si>
  <si>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</si>
  <si>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</si>
  <si>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</si>
  <si>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</si>
  <si>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</si>
  <si>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</si>
  <si>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</si>
  <si>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</si>
  <si>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</si>
  <si>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</si>
  <si>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</si>
  <si>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</si>
  <si>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</si>
  <si>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</si>
  <si>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</si>
  <si>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</si>
  <si>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</si>
  <si>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</si>
  <si>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</si>
  <si>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</si>
  <si>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</si>
  <si>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</si>
  <si>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</si>
  <si>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</si>
  <si>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</si>
  <si>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</si>
  <si>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</si>
  <si>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</si>
  <si>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</si>
  <si>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</si>
  <si>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</si>
  <si>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</si>
  <si>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</si>
  <si>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</si>
  <si>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</si>
  <si>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</si>
  <si>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</si>
  <si>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</si>
  <si>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</si>
  <si>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</si>
  <si>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</si>
  <si>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</si>
  <si>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</si>
  <si>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</si>
  <si>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</si>
  <si>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</si>
  <si>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</si>
  <si>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</si>
  <si>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</si>
  <si>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</si>
  <si>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</si>
  <si>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</si>
  <si>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</si>
  <si>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</si>
  <si>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</si>
  <si>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</si>
  <si>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</si>
  <si>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</si>
  <si>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</si>
  <si>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</si>
  <si>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</si>
  <si>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</si>
  <si>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</si>
  <si>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</si>
  <si>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</si>
  <si>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</si>
  <si>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</si>
  <si>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</si>
  <si>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</si>
  <si>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</si>
  <si>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</si>
  <si>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</si>
  <si>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</si>
  <si>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</si>
  <si>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</si>
  <si>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</si>
  <si>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</si>
  <si>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</si>
  <si>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</si>
  <si>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</si>
  <si>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</si>
  <si>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</si>
  <si>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</si>
  <si>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</si>
  <si>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</si>
  <si>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</si>
  <si>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</si>
  <si>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</si>
  <si>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</si>
  <si>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</si>
  <si>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</si>
  <si>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</si>
  <si>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</si>
  <si>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</si>
  <si>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</si>
  <si>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</si>
  <si>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</si>
  <si>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</si>
  <si>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</si>
  <si>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</si>
  <si>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</si>
  <si>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</si>
  <si>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</si>
  <si>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</si>
  <si>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</si>
  <si>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</si>
  <si>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</si>
  <si>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</si>
  <si>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</si>
  <si>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</si>
  <si>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</si>
  <si>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</si>
  <si>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</si>
  <si>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</si>
  <si>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</si>
  <si>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</si>
  <si>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</si>
  <si>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</si>
  <si>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</si>
  <si>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</si>
  <si>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</si>
  <si>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</si>
  <si>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</si>
  <si>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</si>
  <si>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</si>
  <si>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</si>
  <si>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</si>
  <si>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</si>
  <si>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</si>
  <si>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</si>
  <si>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</si>
  <si>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</si>
  <si>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</si>
  <si>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</si>
  <si>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</si>
  <si>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</si>
  <si>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</si>
  <si>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</si>
  <si>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</si>
  <si>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</si>
  <si>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</si>
  <si>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</si>
  <si>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</si>
  <si>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</si>
  <si>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</si>
  <si>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</si>
  <si>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</si>
  <si>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</si>
  <si>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</si>
  <si>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</si>
  <si>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</si>
  <si>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</si>
  <si>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</si>
  <si>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</si>
  <si>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</si>
  <si>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</si>
  <si>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</si>
  <si>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</si>
  <si>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</si>
  <si>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</si>
  <si>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</si>
  <si>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</si>
  <si>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</si>
  <si>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</si>
  <si>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</si>
  <si>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</si>
  <si>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</si>
  <si>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</si>
  <si>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</si>
  <si>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</si>
  <si>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</si>
  <si>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</si>
  <si>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</si>
  <si>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</si>
  <si>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</si>
  <si>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</si>
  <si>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</si>
  <si>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</si>
  <si>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</si>
  <si>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</si>
  <si>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</si>
  <si>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</si>
  <si>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</si>
  <si>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</si>
  <si>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</si>
  <si>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</si>
  <si>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</si>
  <si>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</si>
  <si>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</si>
  <si>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</si>
  <si>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</si>
  <si>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</si>
  <si>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</si>
  <si>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</si>
  <si>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</si>
  <si>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</si>
  <si>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</si>
  <si>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</si>
  <si>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</si>
  <si>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</si>
  <si>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</si>
  <si>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</si>
  <si>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</si>
  <si>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</si>
  <si>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</si>
  <si>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</si>
  <si>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</si>
  <si>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</si>
  <si>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</si>
  <si>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</si>
  <si>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</si>
  <si>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</si>
  <si>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</si>
  <si>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</si>
  <si>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</si>
  <si>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</si>
  <si>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</si>
  <si>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</si>
  <si>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</si>
  <si>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</si>
  <si>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</si>
  <si>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</si>
  <si>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</si>
  <si>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</si>
  <si>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</si>
  <si>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</si>
  <si>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</si>
  <si>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</si>
  <si>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</si>
  <si>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</si>
  <si>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</si>
  <si>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</si>
  <si>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</si>
  <si>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</si>
  <si>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</si>
  <si>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</si>
  <si>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</si>
  <si>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</si>
  <si>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</si>
  <si>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</si>
  <si>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</si>
  <si>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</si>
  <si>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</si>
  <si>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</si>
  <si>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</si>
  <si>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</si>
  <si>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</si>
  <si>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</si>
  <si>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</si>
  <si>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</si>
  <si>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</si>
  <si>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</si>
  <si>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</si>
  <si>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</si>
  <si>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</si>
  <si>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</si>
  <si>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</si>
  <si>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</si>
  <si>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</si>
  <si>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</si>
  <si>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</si>
  <si>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</si>
  <si>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</si>
  <si>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</si>
  <si>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</si>
  <si>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</si>
  <si>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</si>
  <si>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</si>
  <si>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</si>
  <si>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</si>
  <si>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</si>
  <si>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</si>
  <si>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</si>
  <si>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</si>
  <si>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</si>
  <si>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</si>
  <si>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</si>
  <si>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</si>
  <si>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</si>
  <si>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</si>
  <si>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</si>
  <si>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</si>
  <si>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</si>
  <si>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</si>
  <si>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</si>
  <si>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</si>
  <si>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</si>
  <si>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</si>
  <si>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</si>
  <si>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</si>
  <si>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</si>
  <si>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</si>
  <si>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</si>
  <si>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</si>
  <si>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</si>
  <si>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</si>
  <si>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</si>
  <si>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</si>
  <si>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</si>
  <si>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</si>
  <si>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</si>
  <si>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</si>
  <si>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</si>
  <si>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</si>
  <si>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</si>
  <si>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</si>
  <si>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</si>
  <si>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</si>
  <si>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</si>
  <si>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</si>
  <si>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</si>
  <si>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</si>
  <si>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</si>
  <si>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</si>
  <si>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</si>
  <si>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</si>
  <si>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</si>
  <si>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</si>
  <si>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</si>
  <si>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</si>
  <si>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</si>
  <si>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</si>
  <si>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</si>
  <si>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</si>
  <si>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</si>
  <si>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</si>
  <si>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</si>
  <si>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</si>
  <si>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</si>
  <si>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</si>
  <si>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</si>
  <si>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</si>
  <si>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</si>
  <si>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</si>
  <si>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</si>
  <si>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</si>
  <si>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</si>
  <si>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</si>
  <si>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</si>
  <si>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</si>
  <si>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</si>
  <si>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</si>
  <si>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</si>
  <si>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</si>
  <si>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</si>
  <si>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</si>
  <si>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</si>
  <si>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</si>
  <si>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</si>
  <si>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</si>
  <si>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</si>
  <si>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</si>
  <si>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</si>
  <si>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</si>
  <si>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</si>
  <si>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</si>
  <si>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</si>
  <si>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</si>
  <si>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</si>
  <si>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</si>
  <si>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</si>
  <si>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</si>
  <si>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</si>
  <si>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</si>
  <si>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</si>
  <si>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</si>
  <si>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</si>
  <si>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</si>
  <si>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</si>
  <si>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</si>
  <si>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</si>
  <si>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</si>
  <si>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</si>
  <si>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</si>
  <si>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</si>
  <si>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</si>
  <si>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</si>
  <si>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</si>
  <si>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</si>
  <si>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</si>
  <si>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</si>
  <si>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</si>
  <si>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</si>
  <si>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</si>
  <si>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</si>
  <si>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</si>
  <si>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</si>
  <si>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</si>
  <si>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</si>
  <si>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</si>
  <si>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</si>
  <si>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</si>
  <si>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</si>
  <si>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</si>
  <si>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</si>
  <si>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</si>
  <si>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</si>
  <si>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</si>
  <si>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</si>
  <si>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</si>
  <si>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</si>
  <si>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</si>
  <si>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</si>
  <si>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</si>
  <si>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</si>
  <si>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</si>
  <si>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</si>
  <si>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</si>
  <si>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</si>
  <si>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</si>
  <si>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</si>
  <si>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</si>
  <si>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</si>
  <si>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</si>
  <si>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</si>
  <si>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</si>
  <si>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</si>
  <si>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</si>
  <si>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</si>
  <si>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</si>
  <si>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</si>
  <si>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</si>
  <si>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</si>
  <si>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</si>
  <si>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</si>
  <si>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</si>
  <si>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</si>
  <si>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</si>
  <si>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</si>
  <si>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</si>
  <si>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</si>
  <si>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</si>
  <si>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</si>
  <si>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</si>
  <si>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</si>
  <si>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</si>
  <si>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</si>
  <si>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</si>
  <si>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</si>
  <si>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</si>
  <si>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</si>
  <si>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</si>
  <si>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</si>
  <si>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</si>
  <si>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</si>
  <si>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</si>
  <si>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</si>
  <si>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</si>
  <si>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</si>
  <si>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</si>
  <si>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</si>
  <si>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</si>
  <si>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</si>
  <si>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</si>
  <si>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</si>
  <si>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</si>
  <si>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</si>
  <si>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</si>
  <si>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</si>
  <si>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</si>
  <si>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</si>
  <si>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</si>
  <si>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</si>
  <si>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</si>
  <si>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</si>
  <si>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</si>
  <si>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</si>
  <si>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</si>
  <si>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</si>
  <si>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</si>
  <si>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</si>
  <si>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</si>
  <si>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</si>
  <si>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</si>
  <si>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</si>
  <si>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</si>
  <si>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</si>
  <si>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</si>
  <si>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</si>
  <si>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</si>
  <si>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</si>
  <si>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</si>
  <si>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</si>
  <si>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</si>
  <si>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</si>
  <si>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</si>
  <si>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</si>
  <si>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</si>
  <si>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</si>
  <si>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</si>
  <si>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</si>
  <si>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</si>
  <si>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</si>
  <si>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</si>
  <si>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</si>
  <si>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</si>
  <si>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</si>
  <si>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</si>
  <si>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</si>
  <si>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</si>
  <si>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</si>
  <si>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</si>
  <si>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</si>
  <si>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</si>
  <si>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</si>
  <si>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</si>
  <si>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</si>
  <si>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</si>
  <si>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</si>
  <si>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</si>
  <si>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</si>
  <si>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</si>
  <si>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</si>
  <si>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</si>
  <si>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</si>
  <si>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</si>
  <si>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</si>
  <si>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</si>
  <si>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</si>
  <si>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</si>
  <si>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</si>
  <si>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</si>
  <si>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</si>
  <si>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</si>
  <si>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</si>
  <si>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</si>
  <si>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</si>
  <si>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</si>
  <si>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</si>
  <si>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</si>
  <si>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</si>
  <si>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</si>
  <si>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</si>
  <si>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</si>
  <si>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</si>
  <si>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</si>
  <si>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</si>
  <si>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</si>
  <si>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</si>
  <si>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</si>
  <si>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</si>
  <si>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</si>
  <si>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</si>
  <si>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</si>
  <si>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</si>
  <si>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</si>
  <si>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</si>
  <si>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</si>
  <si>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</si>
  <si>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</si>
  <si>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</si>
  <si>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</si>
  <si>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</si>
  <si>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</si>
  <si>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</si>
  <si>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</si>
  <si>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</si>
  <si>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</si>
  <si>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</si>
  <si>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</si>
  <si>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</si>
  <si>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</si>
  <si>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</si>
  <si>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</si>
  <si>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</si>
  <si>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</si>
  <si>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</si>
  <si>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</si>
  <si>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</si>
  <si>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</si>
  <si>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</si>
  <si>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</si>
  <si>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</si>
  <si>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</si>
  <si>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</si>
  <si>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</si>
  <si>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</si>
  <si>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</si>
  <si>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</si>
  <si>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</si>
  <si>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</si>
  <si>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</si>
  <si>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</si>
  <si>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</si>
  <si>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</si>
  <si>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</si>
  <si>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</si>
  <si>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</si>
  <si>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</si>
  <si>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</si>
  <si>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</si>
  <si>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</si>
  <si>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</si>
  <si>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</si>
  <si>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</si>
  <si>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</si>
  <si>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</si>
  <si>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</si>
  <si>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</si>
  <si>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</si>
  <si>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</si>
  <si>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</si>
  <si>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</si>
  <si>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</si>
  <si>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</si>
  <si>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</si>
  <si>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</si>
  <si>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</si>
  <si>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</si>
  <si>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</si>
  <si>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</si>
  <si>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</si>
  <si>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</si>
  <si>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</si>
  <si>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</si>
  <si>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</si>
  <si>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</si>
  <si>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</si>
  <si>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</si>
  <si>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</si>
  <si>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</si>
  <si>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</si>
  <si>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</si>
  <si>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</si>
  <si>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</si>
  <si>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</si>
  <si>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</si>
  <si>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</si>
  <si>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</si>
  <si>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</si>
  <si>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</si>
  <si>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</si>
  <si>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</si>
  <si>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</si>
  <si>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</si>
  <si>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</si>
  <si>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</si>
  <si>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</si>
  <si>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</si>
  <si>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</si>
  <si>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</si>
  <si>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</si>
  <si>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</si>
  <si>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</si>
  <si>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</si>
  <si>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</si>
  <si>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</si>
  <si>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</si>
  <si>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</si>
  <si>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</si>
  <si>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</si>
  <si>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</si>
  <si>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</si>
  <si>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</si>
  <si>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</si>
  <si>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</si>
  <si>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</si>
  <si>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</si>
  <si>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</si>
  <si>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</si>
  <si>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</si>
  <si>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</si>
  <si>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</si>
  <si>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</si>
  <si>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</si>
  <si>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</si>
  <si>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</si>
  <si>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</si>
  <si>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</si>
  <si>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</si>
  <si>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</si>
  <si>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</si>
  <si>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</si>
  <si>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</si>
  <si>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</si>
  <si>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</si>
  <si>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</si>
  <si>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</si>
  <si>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</si>
  <si>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</si>
  <si>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</si>
  <si>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</si>
  <si>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</si>
  <si>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</si>
  <si>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</si>
  <si>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</si>
  <si>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</si>
  <si>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</si>
  <si>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</si>
  <si>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</si>
  <si>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</si>
  <si>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</si>
  <si>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</si>
  <si>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</si>
  <si>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</si>
  <si>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</si>
  <si>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</si>
  <si>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</si>
  <si>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</si>
  <si>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</si>
  <si>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</si>
  <si>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</si>
  <si>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</si>
  <si>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</si>
  <si>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</si>
  <si>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</si>
  <si>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</si>
  <si>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</si>
  <si>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</si>
  <si>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</si>
  <si>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</si>
  <si>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</si>
  <si>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</si>
  <si>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</si>
  <si>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</si>
  <si>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</si>
  <si>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</si>
  <si>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</si>
  <si>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</si>
  <si>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</si>
  <si>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Steelton</t>
  </si>
  <si>
    <t>James Baer</t>
  </si>
  <si>
    <t>james.baer@amwater.com</t>
  </si>
  <si>
    <t>610-842-3118</t>
  </si>
  <si>
    <t>PAW - 140 Steelton</t>
  </si>
  <si>
    <t>USA</t>
  </si>
  <si>
    <t>Calendar</t>
  </si>
  <si>
    <t>7220036</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</si>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</sst>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32.721329654932688</c:v>
                </c:pt>
                <c:pt idx="1">
                  <c:v>2.0024160337996988</c:v>
                </c:pt>
                <c:pt idx="2">
                  <c:v>215.57825853622995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10.728031127655326</c:v>
                </c:pt>
                <c:pt idx="1">
                  <c:v>0.26113598867139654</c:v>
                </c:pt>
                <c:pt idx="2">
                  <c:v>21.652831467597846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9.6288904268870077</c:v>
                </c:pt>
                <c:pt idx="1">
                  <c:v>0.56875750335916142</c:v>
                </c:pt>
                <c:pt idx="2">
                  <c:v>60.897039989649009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95</c:v>
                </c:pt>
                <c:pt idx="1">
                  <c:v>1.2666666666666666</c:v>
                </c:pt>
                <c:pt idx="2" formatCode="General">
                  <c:v>103.73333333333333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52.929000000000002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2.5350000000000001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4.1689999999999996</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4.9685306122449191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0.503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19.763837855567257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$228,410/Yr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63487.276920000004</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3040.6818000000003</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66662.31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63470.326263673742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8042.97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23706.328230995812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31.265808526427506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1.1196478377370933</c:v>
                </c:pt>
                <c:pt idx="1">
                  <c:v>9.0856271993300333E-2</c:v>
                </c:pt>
                <c:pt idx="2">
                  <c:v>10.146529889432149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21.993298527277364</c:v>
                </c:pt>
                <c:pt idx="1">
                  <c:v>1.8469276802355887</c:v>
                </c:pt>
                <c:pt idx="2">
                  <c:v>207.02573382193563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1933.8393205056025</c:v>
                </c:pt>
                <c:pt idx="1">
                  <c:v>97.186039594358903</c:v>
                </c:pt>
                <c:pt idx="2" formatCode="_(* #,##0_);_(* \(#,##0\);_(* &quot;-&quot;??_);_(@_)">
                  <c:v>10117.2295891949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image" Target="../media/image7.emf"/><Relationship Id="rId17" Type="http://schemas.openxmlformats.org/officeDocument/2006/relationships/image" Target="../media/image8.emf"/><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CRUC"/><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hyperlink" Target="#'Interactive Data Grading'!BU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25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25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258"/>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259"/>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260"/>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261"/>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262"/>
                  </a:ext>
                </a:extLst>
              </xdr:cNvPicPr>
            </xdr:nvPicPr>
            <xdr:blipFill rotWithShape="1">
              <a:blip xmlns:r="http://schemas.openxmlformats.org/officeDocument/2006/relationships" r:embed="rId6"/>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263"/>
                  </a:ext>
                </a:extLst>
              </xdr:cNvPicPr>
            </xdr:nvPicPr>
            <xdr:blipFill rotWithShape="1">
              <a:blip xmlns:r="http://schemas.openxmlformats.org/officeDocument/2006/relationships" r:embed="rId12"/>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264"/>
                  </a:ext>
                </a:extLst>
              </xdr:cNvPicPr>
            </xdr:nvPicPr>
            <xdr:blipFill rotWithShape="1">
              <a:blip xmlns:r="http://schemas.openxmlformats.org/officeDocument/2006/relationships" r:embed="rId12"/>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265"/>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266"/>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267"/>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268"/>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269"/>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9270"/>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9271"/>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9272"/>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9273"/>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9274"/>
                  </a:ext>
                </a:extLst>
              </xdr:cNvPicPr>
            </xdr:nvPicPr>
            <xdr:blipFill rotWithShape="1">
              <a:blip xmlns:r="http://schemas.openxmlformats.org/officeDocument/2006/relationships" r:embed="rId1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0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9" sqref="AB9:AL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1273</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1278</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1275</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1276</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1277</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1274</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1279</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46086</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1280</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1281</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8677</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O76" sqref="O76:P76"/>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- 140 Steelton</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276.18900000000002</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2E-3</v>
      </c>
      <c r="P15" s="580" t="s">
        <v>787</v>
      </c>
      <c r="Q15" s="1033"/>
      <c r="R15" s="1063"/>
      <c r="S15" s="491" t="str">
        <f>IF('Start Page'!$AB$22="million gallons (US)","MG/Yr",IF('Start Page'!$AB$22="Megalitres (thousand cubic metres)","ML/Yr",IF('Start Page'!$AB$22="acre-feet","acre-ft/yr","")))</f>
        <v>MG/Yr</v>
      </c>
      <c r="T15" s="581" t="s">
        <v>1282</v>
      </c>
      <c r="U15" s="559" t="s">
        <v>921</v>
      </c>
      <c r="V15" s="91"/>
      <c r="W15" s="484">
        <f>IF(P15="percent",1,2)</f>
        <v>1</v>
      </c>
      <c r="X15" s="102">
        <f>IF(H15&gt;0,IF(W15=1,O15*H15,Q15),0)</f>
        <v>0.55237800000000004</v>
      </c>
      <c r="Y15" s="103">
        <f>$Y$19/$Y$18*H15</f>
        <v>34.899158516980634</v>
      </c>
      <c r="Z15" s="147">
        <f>$Y$19/$Y$18*ABS(X15)</f>
        <v>6.9798317033961277E-2</v>
      </c>
      <c r="AA15" s="896">
        <f>IF(W15=1,input_VOS-input_VOS/(1+O15*AB15),Q15*AB15)</f>
        <v>0.55127544910180859</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275.63772455089821</v>
      </c>
    </row>
    <row r="16" spans="1:33">
      <c r="A16" s="91"/>
      <c r="B16" s="562" t="s">
        <v>908</v>
      </c>
      <c r="C16" s="529" t="s">
        <v>40</v>
      </c>
      <c r="D16" s="841" t="s">
        <v>881</v>
      </c>
      <c r="E16" s="577" t="s">
        <v>882</v>
      </c>
      <c r="F16" s="492">
        <f>'Interactive Data Grading'!D74</f>
        <v>9</v>
      </c>
      <c r="G16" s="94"/>
      <c r="H16" s="532">
        <v>0</v>
      </c>
      <c r="I16" s="269"/>
      <c r="J16" s="270" t="str">
        <f>IF('Start Page'!$AB$22="million gallons (US)","MG/Yr",IF('Start Page'!$AB$22="Megalitres (thousand cubic metres)","ML/Yr",IF('Start Page'!$AB$22="acre-feet","Acre-ft/Yr","")))</f>
        <v>MG/Yr</v>
      </c>
      <c r="K16" s="844" t="s">
        <v>881</v>
      </c>
      <c r="L16" s="607" t="s">
        <v>882</v>
      </c>
      <c r="M16" s="492">
        <f>'Interactive Data Grading'!D96</f>
        <v>9</v>
      </c>
      <c r="N16" s="270"/>
      <c r="O16" s="487">
        <v>4.7000000000000002E-3</v>
      </c>
      <c r="P16" s="580" t="s">
        <v>787</v>
      </c>
      <c r="Q16" s="1033"/>
      <c r="R16" s="1063"/>
      <c r="S16" s="491" t="str">
        <f>IF('Start Page'!$AB$22="million gallons (US)","MG/Yr",IF('Start Page'!$AB$22="Megalitres (thousand cubic metres)","ML/Yr",IF('Start Page'!$AB$22="acre-feet","acre-ft/yr","")))</f>
        <v>MG/Yr</v>
      </c>
      <c r="T16" s="581" t="s">
        <v>1282</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1</v>
      </c>
      <c r="AC16" s="240" t="str">
        <f t="shared" ref="AC16:AC17" si="2">IF(OR(H16&lt;=0,AND(H16&gt;0,OR(AND(W16=1,O16=0),AND(W16=2,Q16=0)))),"no","yes")</f>
        <v>no</v>
      </c>
      <c r="AD16" s="240" t="str">
        <f>IF(OR(T16="select…..",T16=""),"no","yes")</f>
        <v>yes</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f>'Interactive Data Grading'!D127</f>
        <v>9</v>
      </c>
      <c r="G17" s="94"/>
      <c r="H17" s="321">
        <v>0.24299999999999999</v>
      </c>
      <c r="I17" s="269"/>
      <c r="J17" s="270" t="str">
        <f>IF('Start Page'!$AB$22="million gallons (US)","MG/Yr",IF('Start Page'!$AB$22="Megalitres (thousand cubic metres)","ML/Yr",IF('Start Page'!$AB$22="acre-feet","Acre-ft/Yr","")))</f>
        <v>MG/Yr</v>
      </c>
      <c r="K17" s="844" t="s">
        <v>881</v>
      </c>
      <c r="L17" s="607" t="s">
        <v>882</v>
      </c>
      <c r="M17" s="492">
        <f>'Interactive Data Grading'!D150</f>
        <v>9</v>
      </c>
      <c r="N17" s="270"/>
      <c r="O17" s="487">
        <v>1.0999999999999999E-2</v>
      </c>
      <c r="P17" s="580" t="s">
        <v>787</v>
      </c>
      <c r="Q17" s="1033"/>
      <c r="R17" s="1063"/>
      <c r="S17" s="491" t="str">
        <f>IF('Start Page'!$AB$22="million gallons (US)","MG/Yr",IF('Start Page'!$AB$22="Megalitres (thousand cubic metres)","ML/Yr",IF('Start Page'!$AB$22="acre-feet","acre-ft/yr","")))</f>
        <v>MG/Yr</v>
      </c>
      <c r="T17" s="581" t="s">
        <v>1282</v>
      </c>
      <c r="U17" s="559" t="s">
        <v>923</v>
      </c>
      <c r="V17" s="91"/>
      <c r="W17" s="484">
        <f t="shared" si="0"/>
        <v>1</v>
      </c>
      <c r="X17" s="102">
        <f>IF(H17&gt;0,IF(W17=1,O17*H17,Q17),0)</f>
        <v>2.6729999999999996E-3</v>
      </c>
      <c r="Y17" s="103">
        <f>$Y$19/$Y$18*H17</f>
        <v>3.0705406513750706E-2</v>
      </c>
      <c r="Z17" s="147">
        <f>$Y$19/$Y$18*ABS(X17)</f>
        <v>3.3775947165125774E-4</v>
      </c>
      <c r="AA17" s="896">
        <f>IF(W17=1,input_WE-input_WE/(1+O17*AB17),Q17*AB17)</f>
        <v>2.6439169139465535E-3</v>
      </c>
      <c r="AB17" s="535">
        <f t="shared" si="1"/>
        <v>1</v>
      </c>
      <c r="AC17" s="240" t="str">
        <f t="shared" si="2"/>
        <v>yes</v>
      </c>
      <c r="AD17" s="240" t="str">
        <f>IF(OR(T17="select…..",T17=""),"no","yes")</f>
        <v>yes</v>
      </c>
      <c r="AE17" s="240" t="str">
        <f t="shared" si="3"/>
        <v>no</v>
      </c>
      <c r="AF17" s="264">
        <f t="shared" si="4"/>
        <v>0</v>
      </c>
      <c r="AG17" s="896">
        <f>input_WE-AA17</f>
        <v>0.24035608308605344</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276.98705100000001</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275.39736846781216</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190.529</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10.956329223110352</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3.0436707768896487</v>
      </c>
      <c r="Z24" s="146"/>
    </row>
    <row r="25" spans="1:33" ht="13.35" customHeight="1">
      <c r="A25" s="91"/>
      <c r="B25" s="562" t="s">
        <v>919</v>
      </c>
      <c r="C25" s="529" t="s">
        <v>483</v>
      </c>
      <c r="D25" s="841" t="s">
        <v>881</v>
      </c>
      <c r="E25" s="577" t="s">
        <v>882</v>
      </c>
      <c r="F25" s="492">
        <f>'Interactive Data Grading'!D224</f>
        <v>10</v>
      </c>
      <c r="G25" s="94"/>
      <c r="H25" s="501">
        <v>52.929000000000002</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243.458</v>
      </c>
      <c r="Z25" s="146"/>
      <c r="AF25" s="99" t="s">
        <v>148</v>
      </c>
    </row>
    <row r="26" spans="1:33" ht="15" customHeight="1" thickBot="1">
      <c r="A26" s="91"/>
      <c r="B26" s="562" t="s">
        <v>920</v>
      </c>
      <c r="C26" s="529" t="s">
        <v>484</v>
      </c>
      <c r="D26" s="841" t="s">
        <v>881</v>
      </c>
      <c r="E26" s="577" t="s">
        <v>882</v>
      </c>
      <c r="F26" s="492">
        <f>'Interactive Data Grading'!D247</f>
        <v>8</v>
      </c>
      <c r="G26" s="94"/>
      <c r="H26" s="498">
        <f>IF(OR(W26=1,AND(W26=2,Q26=0)),O26*SUM(H23:H24),Q26)</f>
        <v>2.5350000000000001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2.5350000000000001</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245.99299999999999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29.404368467812162</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0.503</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0.503</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4.9685306122449049</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1265</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10</v>
      </c>
      <c r="G43" s="204"/>
      <c r="H43" s="498">
        <f>IF(OR(W43=1,AND(W43=2,Q43=0)),O43*SUM(H23:H24),Q43)</f>
        <v>4.1689999999999996</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4.1689999999999996</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9.6405306122449055</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3.888346938775527</v>
      </c>
      <c r="Y50" s="135">
        <f>IFERROR(IF(W41=1,((H25)/(1-(O41*X41)))-(H25),Q41*H25/(H23+H25)),0)</f>
        <v>1.0801836734693921</v>
      </c>
      <c r="Z50" s="923">
        <f>SUM(X50:Y50)</f>
        <v>4.9685306122449191</v>
      </c>
      <c r="AA50" s="1031"/>
      <c r="AB50" s="1031"/>
      <c r="AC50" s="1031"/>
    </row>
    <row r="51" spans="1:29">
      <c r="A51" s="91"/>
      <c r="B51" s="562"/>
      <c r="C51" s="1037" t="s">
        <v>662</v>
      </c>
      <c r="D51" s="1037"/>
      <c r="E51" s="1037"/>
      <c r="F51" s="1037"/>
      <c r="G51" s="869"/>
      <c r="H51" s="868">
        <f>IFERROR(H35-H46,"")</f>
        <v>19.763837855567257</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62174.667551020677</v>
      </c>
      <c r="Y51" s="940">
        <f>Y50*input_VPC</f>
        <v>1295.6587126530665</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29.404368467812162</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84.868368467812161</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28</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2462</v>
      </c>
      <c r="I62" s="291"/>
      <c r="J62" s="292"/>
      <c r="K62" s="101"/>
      <c r="L62" s="101"/>
      <c r="M62" s="292" t="s">
        <v>902</v>
      </c>
      <c r="N62" s="101"/>
      <c r="U62" s="256"/>
      <c r="V62" s="91"/>
    </row>
    <row r="63" spans="1:29">
      <c r="A63" s="91"/>
      <c r="B63" s="562"/>
      <c r="C63" s="529" t="s">
        <v>165</v>
      </c>
      <c r="D63" s="53"/>
      <c r="E63" s="512"/>
      <c r="F63" s="273"/>
      <c r="G63" s="53"/>
      <c r="H63" s="500">
        <f>IF(ISERROR(H62/H61),"",H62/H61)</f>
        <v>87.928571428571431</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16.5</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16.5</v>
      </c>
      <c r="X67" s="54" t="s">
        <v>130</v>
      </c>
      <c r="Y67" s="54"/>
      <c r="Z67" s="54"/>
    </row>
    <row r="68" spans="1:26">
      <c r="A68" s="91"/>
      <c r="B68" s="562" t="s">
        <v>915</v>
      </c>
      <c r="C68" s="529" t="s">
        <v>487</v>
      </c>
      <c r="D68" s="841" t="s">
        <v>881</v>
      </c>
      <c r="E68" s="577" t="s">
        <v>882</v>
      </c>
      <c r="F68" s="492">
        <f>'Interactive Data Grading'!D422</f>
        <v>8</v>
      </c>
      <c r="G68" s="53"/>
      <c r="H68" s="325">
        <v>83.6</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1199.48</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932052</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Unbilled Unmetered (UUAC)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C323" sqref="C323"/>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- 140 Steelton</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Inconsistency between Worksheet WI input and Wi.0 response</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399999999999999"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t="s">
        <v>269</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9</v>
      </c>
    </row>
    <row r="66" spans="1:18" ht="26.4" customHeight="1">
      <c r="A66" s="215"/>
      <c r="B66" s="555" t="s">
        <v>347</v>
      </c>
      <c r="C66" s="884" t="str">
        <f>WI!B37</f>
        <v>What level of data transfer errors are checked as part of the electronic calibration process?</v>
      </c>
      <c r="D66" s="334" t="s">
        <v>803</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260</v>
      </c>
      <c r="E67" s="753" t="str">
        <f t="shared" si="5"/>
        <v/>
      </c>
      <c r="F67" s="327"/>
      <c r="G67" s="810">
        <f>IFERROR(IF(H63&lt;7,1,IF(OR(D65=WI!D23,D65=WI!D27),1,IF(LEN(D67)&gt;0,1,0))),"")</f>
        <v>1</v>
      </c>
      <c r="H67" s="818">
        <f>VLOOKUP('Interactive Data Grading'!D67,WI!$F$6:$M$16,8,FALSE)</f>
        <v>10</v>
      </c>
      <c r="I67" s="819">
        <f>IF(D65=WI!D23,X,IF(AND(H67=5,H69=10),7,H67))</f>
        <v>10</v>
      </c>
      <c r="J67" s="810" t="s">
        <v>346</v>
      </c>
    </row>
    <row r="68" spans="1:18" ht="16.5" customHeight="1">
      <c r="A68" s="215"/>
      <c r="B68" s="555" t="s">
        <v>349</v>
      </c>
      <c r="C68" s="884" t="str">
        <f>WI!B39</f>
        <v>What is the frequency of in-situ flow accuracy testing?</v>
      </c>
      <c r="D68" s="329" t="s">
        <v>269</v>
      </c>
      <c r="E68" s="753" t="str">
        <f t="shared" si="5"/>
        <v>Limiting</v>
      </c>
      <c r="F68" s="327"/>
      <c r="G68" s="810">
        <f>IFERROR(IF(H63&lt;7,1,IF(LEN(D68)&gt;0,1,0)),"")</f>
        <v>1</v>
      </c>
      <c r="H68" s="818">
        <f>VLOOKUP('Interactive Data Grading'!D68,WI!$G$6:$M$16,7,FALSE)</f>
        <v>7</v>
      </c>
      <c r="I68" s="819">
        <f>IF(AND(H65&gt;=7,H68&gt;=7),MAX(H68,9),IF(AND(H65&gt;3,H65&lt;7,H68&gt;3,H68&lt;7),MAX(H65,H68),IF(H65&gt;=7,MAX(7,H68),H68)))</f>
        <v>9</v>
      </c>
    </row>
    <row r="69" spans="1:18" ht="20.399999999999999"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322</v>
      </c>
      <c r="E72" s="753" t="str">
        <f t="shared" si="5"/>
        <v/>
      </c>
      <c r="F72" s="327"/>
      <c r="G72" s="810">
        <f>IFERROR(IF(H63&lt;7,1,IF(LEN(D72)&gt;0,1,0)),"")</f>
        <v>1</v>
      </c>
      <c r="H72" s="818">
        <f>VLOOKUP('Interactive Data Grading'!D72,WI!$K$6:$M$16,3,FALSE)</f>
        <v>10</v>
      </c>
      <c r="I72" s="818">
        <f>H72</f>
        <v>10</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721</v>
      </c>
      <c r="E73" s="753" t="str">
        <f t="shared" si="5"/>
        <v/>
      </c>
      <c r="F73" s="327"/>
      <c r="G73" s="810">
        <f>IFERROR(IF(H63&lt;7,1,IF(LEN(D73)&gt;0,1,0)),"")</f>
        <v>1</v>
      </c>
      <c r="H73" s="818">
        <f>VLOOKUP('Interactive Data Grading'!D73,WI!$L$6:$M$16,2,FALSE)</f>
        <v>10</v>
      </c>
      <c r="I73" s="818">
        <f>H73</f>
        <v>10</v>
      </c>
    </row>
    <row r="74" spans="1:18" ht="27.6" customHeight="1">
      <c r="A74" s="215"/>
      <c r="B74" s="215"/>
      <c r="C74" s="328" t="s">
        <v>313</v>
      </c>
      <c r="D74" s="756">
        <f>IF(D62="","",IF(D62="No","n/a",IF(G74=0,"",IF(R8=0,H63,I74))))</f>
        <v>9</v>
      </c>
      <c r="E74" s="753"/>
      <c r="F74" s="327"/>
      <c r="G74" s="810">
        <f>MIN(G63:G73)</f>
        <v>1</v>
      </c>
      <c r="H74" s="821">
        <f>MIN(H63:H73)</f>
        <v>7</v>
      </c>
      <c r="I74" s="821">
        <f t="array" ref="I74">MIN(IF(ISNUMBER(I63:I73),I63:I73))</f>
        <v>9</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371</v>
      </c>
      <c r="E93" s="753" t="str">
        <f t="shared" ref="E93:E95" si="7">IFERROR(IF(OR($D$96="",$H93=10,NOT(ISNUMBER($H93))),"",IF(H93=$H$96,"Limiting","")),"")</f>
        <v>Limiting</v>
      </c>
      <c r="F93" s="327"/>
      <c r="G93" s="824">
        <f>IF(OR(LEN(D93)&gt;0,D92=WIEA!$C$23),1,0)</f>
        <v>1</v>
      </c>
      <c r="H93" s="818">
        <f>VLOOKUP('Interactive Data Grading'!D93,WIEA!$D$6:$G$16,4,FALSE)</f>
        <v>9</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335</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9</v>
      </c>
      <c r="E96" s="753"/>
      <c r="F96" s="327"/>
      <c r="G96" s="824">
        <f>MIN(G92:G95)</f>
        <v>1</v>
      </c>
      <c r="H96" s="821">
        <f t="array" ref="H96">MIN(IF(ISNUMBER(H92:H95),H92:H95))</f>
        <v>9</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399999999999999"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t="s">
        <v>269</v>
      </c>
      <c r="E118" s="753" t="str">
        <f>IFERROR(IF(OR($D$127=10,NOT(ISNUMBER($D$127))),"",IF(I118=$I$127,"Limiting","")),"")</f>
        <v>Limiting</v>
      </c>
      <c r="F118" s="327"/>
      <c r="G118" s="810">
        <f>IFERROR(IF(H116&lt;7,1,IF(LEN(D118)&gt;0,1,0)),"")</f>
        <v>1</v>
      </c>
      <c r="H118" s="818">
        <f>VLOOKUP('Interactive Data Grading'!D118,WE!$D$6:$M$16,10,FALSE)</f>
        <v>7</v>
      </c>
      <c r="I118" s="819">
        <f>IF(AND(H118&gt;=7,H121&gt;=7),MAX(H118,9),IF(AND(H118&gt;3,H118&lt;7,H121&gt;3,H121&lt;7),MAX(H118,H121),IF(H121&gt;=7,MAX(7,H118),H118)))</f>
        <v>9</v>
      </c>
    </row>
    <row r="119" spans="1:18" ht="25.95" customHeight="1">
      <c r="A119" s="215"/>
      <c r="B119" s="215" t="s">
        <v>381</v>
      </c>
      <c r="C119" s="884" t="str">
        <f>WE!B37</f>
        <v>What level of data transfer errors are checked as part of the electronic calibration process?</v>
      </c>
      <c r="D119" s="334" t="s">
        <v>805</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2" customHeight="1">
      <c r="A121" s="215"/>
      <c r="B121" s="215" t="s">
        <v>383</v>
      </c>
      <c r="C121" s="884" t="str">
        <f>WE!B39</f>
        <v>What is the frequency of in-situ flow accuracy testing?</v>
      </c>
      <c r="D121" s="329" t="s">
        <v>269</v>
      </c>
      <c r="E121" s="753" t="str">
        <f t="shared" si="9"/>
        <v>Limiting</v>
      </c>
      <c r="F121" s="327"/>
      <c r="G121" s="810">
        <f>IFERROR(IF(H116&lt;7,1,IF(LEN(D121)&gt;0,1,0)),"")</f>
        <v>1</v>
      </c>
      <c r="H121" s="818">
        <f>VLOOKUP('Interactive Data Grading'!D121,WE!$G$6:$M$16,7,FALSE)</f>
        <v>7</v>
      </c>
      <c r="I121" s="819">
        <f>IF(AND(H118&gt;=7,H121&gt;=7),MAX(H121,9),IF(AND(H118&gt;3,H118&lt;7,H121&gt;3,H121&lt;7),MAX(H118,H121),IF(H118&gt;=7,MAX(7,H121),H121)))</f>
        <v>9</v>
      </c>
    </row>
    <row r="122" spans="1:18" ht="19.95"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804</v>
      </c>
      <c r="E123" s="753" t="str">
        <f t="shared" si="9"/>
        <v/>
      </c>
      <c r="F123" s="327"/>
      <c r="G123" s="810">
        <f>IFERROR(IF(H116&lt;7,1,IF(OR(D121=WE!G23,D122=WE!H23),1,IF(LEN(D123)&gt;0,1,0))),"")</f>
        <v>1</v>
      </c>
      <c r="H123" s="818">
        <f>VLOOKUP('Interactive Data Grading'!D123,WE!$I$6:$M$16,5,FALSE)</f>
        <v>10</v>
      </c>
      <c r="I123" s="818">
        <f>IF(OR(D121=WE!G23,D122=WE!H23),X,H123)</f>
        <v>10</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2" customHeight="1">
      <c r="A125" s="215"/>
      <c r="B125" s="215" t="s">
        <v>387</v>
      </c>
      <c r="C125" s="884" t="str">
        <f>WE!B43</f>
        <v>Which best describes the frequency of meter readings (data collection frequency as opposed to billing frequency)?</v>
      </c>
      <c r="D125" s="329" t="s">
        <v>322</v>
      </c>
      <c r="E125" s="753" t="str">
        <f t="shared" si="9"/>
        <v/>
      </c>
      <c r="F125" s="327"/>
      <c r="G125" s="810">
        <f>IFERROR(IF(H116&lt;7,1,IF(LEN(D125)&gt;0,1,0)),"")</f>
        <v>1</v>
      </c>
      <c r="H125" s="818">
        <f>VLOOKUP('Interactive Data Grading'!D125,WE!$K$6:$M$16,3,FALSE)</f>
        <v>10</v>
      </c>
      <c r="I125" s="818">
        <f>H125</f>
        <v>10</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721</v>
      </c>
      <c r="E126" s="753" t="str">
        <f t="shared" si="9"/>
        <v/>
      </c>
      <c r="F126" s="327"/>
      <c r="G126" s="810">
        <f>IFERROR(IF(H116&lt;7,1,IF(LEN(D126)&gt;0,1,0)),"")</f>
        <v>1</v>
      </c>
      <c r="H126" s="818">
        <f>VLOOKUP('Interactive Data Grading'!D126,WE!$L$6:$M$16,2,FALSE)</f>
        <v>10</v>
      </c>
      <c r="I126" s="818">
        <f>H126</f>
        <v>10</v>
      </c>
    </row>
    <row r="127" spans="1:18" ht="27.6" customHeight="1">
      <c r="A127" s="215"/>
      <c r="B127" s="215"/>
      <c r="C127" s="328" t="s">
        <v>313</v>
      </c>
      <c r="D127" s="756">
        <f>IF(D115="","",IF(D115="No","n/a",IF(G127=0,"",IF(R9=0,H116,I127))))</f>
        <v>9</v>
      </c>
      <c r="E127" s="753"/>
      <c r="F127" s="327"/>
      <c r="G127" s="810">
        <f>MIN(G116:G126)</f>
        <v>1</v>
      </c>
      <c r="H127" s="821">
        <f>MIN(H116:H126)</f>
        <v>7</v>
      </c>
      <c r="I127" s="821">
        <f t="array" ref="I127">MIN(IF(ISNUMBER(I116:I126),I116:I126))</f>
        <v>9</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t="s">
        <v>372</v>
      </c>
      <c r="E146" s="753" t="str">
        <f>IFERROR(IF(OR($D$150="",$H146=10,NOT(ISNUMBER($H146))),"",IF(H146=$H$150,"Limiting","")),"")</f>
        <v/>
      </c>
      <c r="F146" s="327"/>
      <c r="G146" s="824">
        <f t="shared" ref="G146" si="10">IF(LEN(D146)&gt;0,1,0)</f>
        <v>1</v>
      </c>
      <c r="H146" s="818">
        <f>VLOOKUP('Interactive Data Grading'!D146,WEEA!$C$6:$G$16,5,FALSE)</f>
        <v>10</v>
      </c>
      <c r="I146" s="818"/>
    </row>
    <row r="147" spans="1:18" ht="27.6" customHeight="1">
      <c r="A147" s="215"/>
      <c r="B147" s="555" t="s">
        <v>390</v>
      </c>
      <c r="C147" s="884" t="str">
        <f>WEEA!B35</f>
        <v>Are meter accuracy testing or electronic calibration requirements stipulated in the water purchase agreement?</v>
      </c>
      <c r="D147" s="329" t="s">
        <v>371</v>
      </c>
      <c r="E147" s="753" t="str">
        <f t="shared" ref="E147:E149" si="11">IFERROR(IF(OR($D$150="",$H147=10,NOT(ISNUMBER($H147))),"",IF(H147=$H$150,"Limiting","")),"")</f>
        <v>Limiting</v>
      </c>
      <c r="F147" s="327"/>
      <c r="G147" s="824">
        <f>IF(OR(LEN(D147)&gt;0,D146=WEEA!$C$23),1,0)</f>
        <v>1</v>
      </c>
      <c r="H147" s="818">
        <f>VLOOKUP('Interactive Data Grading'!D147,WEEA!$D$6:$G$16,4,FALSE)</f>
        <v>9</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t="s">
        <v>335</v>
      </c>
      <c r="E148" s="753" t="str">
        <f t="shared" si="11"/>
        <v/>
      </c>
      <c r="F148" s="327"/>
      <c r="G148" s="824">
        <f t="shared" ref="G148:G149" si="12">IF(LEN(D148)&gt;0,1,0)</f>
        <v>1</v>
      </c>
      <c r="H148" s="818">
        <f>VLOOKUP('Interactive Data Grading'!D148,WEEA!$E$6:$G$16,3,FALSE)</f>
        <v>10</v>
      </c>
      <c r="I148" s="819"/>
    </row>
    <row r="149" spans="1:18" ht="27.6" customHeight="1">
      <c r="A149" s="215"/>
      <c r="B149" s="555" t="s">
        <v>392</v>
      </c>
      <c r="C149" s="884" t="str">
        <f>WEEA!B37</f>
        <v>Who has access to the import meter readings including current and archived data?</v>
      </c>
      <c r="D149" s="329" t="s">
        <v>374</v>
      </c>
      <c r="E149" s="753" t="str">
        <f t="shared" si="11"/>
        <v/>
      </c>
      <c r="F149" s="327"/>
      <c r="G149" s="824">
        <f t="shared" si="12"/>
        <v>1</v>
      </c>
      <c r="H149" s="818">
        <f>VLOOKUP('Interactive Data Grading'!D149,WEEA!$F$6:$G$16,2,FALSE)</f>
        <v>10</v>
      </c>
      <c r="I149" s="819"/>
    </row>
    <row r="150" spans="1:18" ht="27.6" customHeight="1">
      <c r="A150" s="215"/>
      <c r="B150" s="215"/>
      <c r="C150" s="328" t="s">
        <v>313</v>
      </c>
      <c r="D150" s="895">
        <f>IF(D115="No","n/a",IF(G150=0,"",H150))</f>
        <v>9</v>
      </c>
      <c r="E150" s="753"/>
      <c r="F150" s="327"/>
      <c r="G150" s="824">
        <f>MIN(G146:G149)</f>
        <v>1</v>
      </c>
      <c r="H150" s="821">
        <f t="array" ref="H150">MIN(IF(ISNUMBER(H146:H149),H146:H149))</f>
        <v>9</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838</v>
      </c>
      <c r="E244" s="753" t="str">
        <f>IF(OR($D$247=10,$D$247=3),"",IFERROR(IF(H244=MIN($H$244:$H$246),"Limiting",""),""))</f>
        <v>Limiting</v>
      </c>
      <c r="F244" s="327"/>
      <c r="H244" s="818">
        <f>VLOOKUP('Interactive Data Grading'!D244,UUAC!$C$6:$F$15,4,FALSE)</f>
        <v>8</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8</v>
      </c>
      <c r="E247" s="753"/>
      <c r="F247" s="327"/>
      <c r="H247" s="821">
        <f>MIN(H244:H246)</f>
        <v>8</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83"/>
      <c r="O270" s="1083"/>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860</v>
      </c>
      <c r="E294" s="753" t="str">
        <f t="shared" si="17"/>
        <v/>
      </c>
      <c r="F294" s="327"/>
      <c r="G294" s="810">
        <f t="shared" si="16"/>
        <v>1</v>
      </c>
      <c r="H294" s="818">
        <f>VLOOKUP('Interactive Data Grading'!D294,CMI!$F$6:$J$16,5,FALSE)</f>
        <v>8</v>
      </c>
      <c r="I294" s="818">
        <f>H294</f>
        <v>8</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Limiting</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745</v>
      </c>
      <c r="E321" s="753" t="str">
        <f>IF(OR($D$322=10,$D$322=3),"",IFERROR(IF(H321=MIN($H$320:$H$321),"Limiting",""),""))</f>
        <v/>
      </c>
      <c r="F321" s="327"/>
      <c r="H321" s="818">
        <f>VLOOKUP('Interactive Data Grading'!D321,UC!$D$6:$E$15,2,FALSE)</f>
        <v>10</v>
      </c>
      <c r="I321" s="819"/>
    </row>
    <row r="322" spans="1:18" ht="27.6" customHeight="1">
      <c r="A322" s="215"/>
      <c r="B322" s="215"/>
      <c r="C322" s="328" t="s">
        <v>313</v>
      </c>
      <c r="D322" s="895">
        <f>IFERROR((IF(D319=UC!A3,3,H322)),"")</f>
        <v>10</v>
      </c>
      <c r="E322" s="753"/>
      <c r="F322" s="327"/>
      <c r="H322" s="821">
        <f>MIN(H320:H321)</f>
        <v>10</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1267</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1267</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1266</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- 140 Steelton</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95</v>
      </c>
      <c r="BS6" s="710"/>
      <c r="BT6" s="709"/>
      <c r="BU6" s="711"/>
      <c r="BV6" s="711"/>
      <c r="BW6" s="711"/>
      <c r="BX6" s="58"/>
      <c r="BY6" s="58"/>
    </row>
    <row r="7" spans="1:77" s="244" customFormat="1" ht="12.9" customHeight="1">
      <c r="A7" s="243"/>
      <c r="B7" s="335"/>
      <c r="C7" s="58"/>
      <c r="D7" s="247"/>
      <c r="E7" s="852"/>
      <c r="F7" s="247"/>
      <c r="G7" s="247"/>
      <c r="H7" s="678"/>
      <c r="I7" s="792" t="s">
        <v>237</v>
      </c>
      <c r="J7" s="1109">
        <f>BR6</f>
        <v>95</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95</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103.73333333333333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result is above 90th %ile</v>
      </c>
      <c r="AC14" s="1094"/>
      <c r="AD14" s="1094"/>
      <c r="AE14" s="1094"/>
      <c r="AF14" s="682"/>
      <c r="AG14" s="619"/>
      <c r="AH14" s="680"/>
      <c r="AI14" s="680"/>
      <c r="AJ14" s="247"/>
      <c r="AK14" s="247"/>
      <c r="AL14" s="1094" t="str">
        <f>IF(BS22&lt;0,"negative result check inputs",IF($BS$23=0,"result is below 10th %ile",IF($BS$22&gt;$BS$23,"result is above 90th %ile","")))</f>
        <v>result is above 90th %ile</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65.752207349581454</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57.801400497346833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65.752207349581454</v>
      </c>
      <c r="AB18" s="1102"/>
      <c r="AC18" s="1102"/>
      <c r="AD18" s="871" t="str">
        <f>BD13</f>
        <v>$/conn/year</v>
      </c>
      <c r="AE18" s="872"/>
      <c r="AF18" s="873"/>
      <c r="AG18" s="873"/>
      <c r="AH18" s="874"/>
      <c r="AI18" s="874"/>
      <c r="AJ18" s="872"/>
      <c r="AK18" s="1102">
        <f>BS22</f>
        <v>56.123316922694457</v>
      </c>
      <c r="AL18" s="1102"/>
      <c r="AM18" s="1102"/>
      <c r="AN18" s="871" t="str">
        <f>BD13</f>
        <v>$/conn/year</v>
      </c>
      <c r="AO18" s="872"/>
      <c r="AP18" s="872"/>
      <c r="AQ18" s="872"/>
      <c r="AR18" s="872"/>
      <c r="AS18" s="872"/>
      <c r="AT18" s="872"/>
      <c r="AU18" s="1102">
        <f>BS29</f>
        <v>9.6288904268870077</v>
      </c>
      <c r="AV18" s="1102"/>
      <c r="AW18" s="1102"/>
      <c r="AX18" s="871" t="str">
        <f>BD13</f>
        <v>$/conn/year</v>
      </c>
      <c r="AY18" s="701"/>
      <c r="AZ18" s="247"/>
      <c r="BA18" s="247"/>
      <c r="BB18" s="342"/>
      <c r="BC18" s="109"/>
      <c r="BD18" s="58" t="s">
        <v>706</v>
      </c>
      <c r="BE18" s="234">
        <f>(((5.41*Worksheet!H61)+(0.15*Worksheet!H62)+(7.5*(Worksheet!H62*Worksheet!W67/5280)))*Worksheet!H68)/1000000*365</f>
        <v>17.651834076250001</v>
      </c>
      <c r="BN18" s="659"/>
      <c r="BO18" s="716" t="s">
        <v>1039</v>
      </c>
      <c r="BP18" s="718">
        <f>BQ18-BQ17</f>
        <v>8.9525318444022357</v>
      </c>
      <c r="BQ18" s="900">
        <f t="shared" si="0"/>
        <v>18.283980813778896</v>
      </c>
      <c r="BR18" s="716" t="s">
        <v>779</v>
      </c>
      <c r="BS18" s="720">
        <f>SUM(BP16:BP20)-SUM(BS16,BS17)</f>
        <v>56.876578089389284</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54.171418629817808</v>
      </c>
      <c r="BF19" s="233">
        <f>BE19*325851.427242/Worksheet!H62/365</f>
        <v>19.643050060926079</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106.46868594999999</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56.123316922694457</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32.721329654932688</v>
      </c>
      <c r="AB29" s="1103"/>
      <c r="AC29" s="1103"/>
      <c r="AD29" s="870" t="str">
        <f>BD10</f>
        <v>gal/conn/day</v>
      </c>
      <c r="AE29" s="870"/>
      <c r="AF29" s="875"/>
      <c r="AG29" s="875"/>
      <c r="AH29" s="700"/>
      <c r="AI29" s="700"/>
      <c r="AJ29" s="700"/>
      <c r="AK29" s="1103">
        <f>BS43</f>
        <v>10.728031127655326</v>
      </c>
      <c r="AL29" s="1103"/>
      <c r="AM29" s="1103"/>
      <c r="AN29" s="871" t="str">
        <f>BD10</f>
        <v>gal/conn/day</v>
      </c>
      <c r="AO29" s="700"/>
      <c r="AP29" s="700"/>
      <c r="AQ29" s="700"/>
      <c r="AR29" s="700"/>
      <c r="AS29" s="700"/>
      <c r="AT29" s="700"/>
      <c r="AU29" s="1098">
        <f>BS55</f>
        <v>21.993298527277364</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9.6288904268870077</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9.6288904268870077</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83.6</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60.897039989649009</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32.721329654932688</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32.721329654932688</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215.57825853622995</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1.1196478377370933</v>
      </c>
      <c r="AI41" s="1097"/>
      <c r="AJ41" s="1097"/>
      <c r="AK41" s="870" t="s">
        <v>1048</v>
      </c>
      <c r="AL41" s="799"/>
      <c r="AM41" s="800"/>
      <c r="AN41" s="796"/>
      <c r="AO41" s="796"/>
      <c r="AP41" s="796"/>
      <c r="AQ41" s="796"/>
      <c r="AR41" s="796"/>
      <c r="AS41" s="1096">
        <f>BS69</f>
        <v>1933.8393205056025</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17.651834076250001</v>
      </c>
      <c r="AL43" s="1095"/>
      <c r="AM43" s="1095"/>
      <c r="AN43" s="1095"/>
      <c r="AO43" s="916" t="str">
        <f>BD7</f>
        <v>MG/Yr</v>
      </c>
      <c r="AP43" s="700"/>
      <c r="AQ43" s="700"/>
      <c r="AR43" s="700"/>
      <c r="AS43" s="1095">
        <f>IF(BG19=1,BF19,IFERROR(AK43*1000000/Worksheet!H62/365,""))</f>
        <v>19.643050060926079</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10.728031127655326</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10.728031127655326</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21.652831467597846</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9.6405306122449055</v>
      </c>
      <c r="J49" s="1090"/>
      <c r="K49" s="1090"/>
      <c r="L49" s="1090"/>
      <c r="M49" s="683"/>
      <c r="N49" s="1091">
        <f>IF(OR(ISBLANK('Start Page'!$AB$22),ISBLANK(Worksheet!J76)),"",(SUM(Worksheet!H43+Worksheet!H39+Worksheet!X50)*Worksheet!H76)*INDEX(Sheet1!B2:D4,MATCH('Start Page'!AB22,Sheet1!A2:A4,0),MATCH(Worksheet!J76,Sheet1!B1:D1,0))+Worksheet!Y50*Worksheet!H77)</f>
        <v>138175.60626367375</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19.763837855567257</v>
      </c>
      <c r="J50" s="1090"/>
      <c r="K50" s="1090"/>
      <c r="L50" s="1090"/>
      <c r="M50" s="683"/>
      <c r="N50" s="1091">
        <f>IFERROR(IF(Worksheet!H41="Select under/over","",IF(ISBLANK('Start Page'!AB22),"",Worksheet!H51*(IF(BD29=FALSE,Worksheet!H77,IF(BD29=TRUE,Worksheet!H76*INDEX(Sheet1!B2:D4,MATCH('Start Page'!AB22,Sheet1!A2:A4,0),MATCH(Worksheet!J76,Sheet1!B1:D1,0)),""))))),"")</f>
        <v>23706.328230995812</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55.463999999999999</v>
      </c>
      <c r="J51" s="1090"/>
      <c r="K51" s="1090"/>
      <c r="L51" s="1090"/>
      <c r="M51" s="683"/>
      <c r="N51" s="1091">
        <f>IFERROR(IF(SUM(Sheet1!D90:D91)=0,"",SUM(Sheet1!D90:D91)),"")</f>
        <v>66527.95872000001</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84.868368467812161</v>
      </c>
      <c r="J52" s="1090"/>
      <c r="K52" s="1090"/>
      <c r="L52" s="1090"/>
      <c r="M52" s="683"/>
      <c r="N52" s="1091">
        <f>IF(SUM(N49:N51)=0,"",SUM(N49:N51))</f>
        <v>228409.89321466954</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21.993298527277364</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21.993298527277364</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207.02573382193563</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1.1196478377370933</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1.1196478377370933</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10.146529889432149</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1933.8393205056025</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1933.8393205056025</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10117.2295891949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31.265808526427506</v>
      </c>
      <c r="BQ83" s="733">
        <f>BP83+BQ78</f>
        <v>83.6</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- 140 Steelton</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84 MG/Yr</v>
      </c>
    </row>
    <row r="79" spans="1:6" ht="13.8">
      <c r="B79" s="52"/>
      <c r="C79" s="52"/>
      <c r="D79" s="52"/>
      <c r="E79" s="9" t="str">
        <f>IFERROR("Total Cost of NRW = $"&amp;TEXT(SUM(D90,D91,D94,D95,D96,D97,D99),"#,###")&amp;"/Yr","")</f>
        <v>Total Cost of NRW = $228,410/Yr</v>
      </c>
      <c r="F79" s="52"/>
    </row>
    <row r="80" spans="1:6">
      <c r="A80"/>
      <c r="B80"/>
      <c r="C80" s="53" t="str">
        <f>"Volume ("&amp;Worksheet!J15&amp;")"</f>
        <v>Volume (MG/Yr)</v>
      </c>
      <c r="D80" s="53" t="s">
        <v>147</v>
      </c>
      <c r="E80" s="94" t="s">
        <v>1085</v>
      </c>
      <c r="F80"/>
    </row>
    <row r="81" spans="1:6">
      <c r="A81" s="46" t="s">
        <v>127</v>
      </c>
      <c r="B81" s="46"/>
      <c r="C81" s="122">
        <f>IF(Dashboard!BO$2&gt;0,"",Worksheet!H15)</f>
        <v>276.18900000000002</v>
      </c>
      <c r="D81" s="123">
        <f>IF(Dashboard!BO$2&gt;0,"",C81*(Worksheet!$H$77))</f>
        <v>331283.18172000005</v>
      </c>
      <c r="E81" s="605">
        <f>D81</f>
        <v>331283.18172000005</v>
      </c>
      <c r="F81" s="84" t="s">
        <v>1084</v>
      </c>
    </row>
    <row r="82" spans="1:6">
      <c r="A82" s="46" t="str">
        <f>A81&amp;" MA"</f>
        <v>Vol. from own sources: MA</v>
      </c>
      <c r="B82" s="46"/>
      <c r="C82" s="122">
        <f>IF(Dashboard!BO$2&gt;0,"",Worksheet!X15)</f>
        <v>0.55237800000000004</v>
      </c>
      <c r="D82" s="123">
        <f>IF(Dashboard!BO$2&gt;0,"",C82*(Worksheet!$H$77))</f>
        <v>662.56636344000003</v>
      </c>
      <c r="E82" s="605">
        <f t="shared" ref="E82:E100" si="0">D82</f>
        <v>662.56636344000003</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0.24299999999999999</v>
      </c>
      <c r="D85" s="123">
        <f>IF(Dashboard!BO$2&gt;0,"",C85*(Worksheet!$H$77))</f>
        <v>291.47363999999999</v>
      </c>
      <c r="E85" s="605">
        <f t="shared" si="0"/>
        <v>291.47363999999999</v>
      </c>
      <c r="F85"/>
    </row>
    <row r="86" spans="1:6">
      <c r="A86" t="str">
        <f>A85&amp;" MA"</f>
        <v>Water exported: MA</v>
      </c>
      <c r="B86"/>
      <c r="C86" s="122">
        <f>IF(Dashboard!BO$2&gt;0,"",Worksheet!X17)</f>
        <v>2.6729999999999996E-3</v>
      </c>
      <c r="D86" s="123">
        <f>IF(Dashboard!BO$2&gt;0,"",C86*(Worksheet!$H$77))</f>
        <v>3.2062100399999998</v>
      </c>
      <c r="E86" s="605">
        <f t="shared" si="0"/>
        <v>3.2062100399999998</v>
      </c>
      <c r="F86"/>
    </row>
    <row r="87" spans="1:6">
      <c r="A87" t="s">
        <v>109</v>
      </c>
      <c r="B87"/>
      <c r="C87" s="122">
        <f>IF(Dashboard!BO$2&gt;0,"",Worksheet!H19)</f>
        <v>275.39736846781216</v>
      </c>
      <c r="D87" s="123">
        <f>IF(Dashboard!BO$2&gt;0,"",C87*(Worksheet!$H$77))</f>
        <v>330333.63552977133</v>
      </c>
      <c r="E87" s="605">
        <f t="shared" si="0"/>
        <v>330333.63552977133</v>
      </c>
      <c r="F87"/>
    </row>
    <row r="88" spans="1:6">
      <c r="A88" s="158" t="s">
        <v>1268</v>
      </c>
      <c r="B88"/>
      <c r="C88" s="122">
        <f>IF(Dashboard!BO$2&gt;0,"",Worksheet!H23)</f>
        <v>190.529</v>
      </c>
      <c r="D88" s="123">
        <f>IF(Dashboard!BO$2&gt;0,"",C88*(Worksheet!$H$76*1000))</f>
        <v>3046558.71</v>
      </c>
      <c r="E88" s="605">
        <f t="shared" si="0"/>
        <v>3046558.71</v>
      </c>
      <c r="F88"/>
    </row>
    <row r="89" spans="1:6">
      <c r="A89" s="158" t="s">
        <v>1269</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52.929000000000002</v>
      </c>
      <c r="D90" s="951">
        <f>IF(Dashboard!BO$2&gt;0,"",IF(ISBLANK('Start Page'!AB22),"",IF(AND(ISBLANK(Worksheet!H77),Worksheet!Z77&lt;&gt;1),"",Worksheet!H25*(IF(Dashboard!BD29=FALSE,Worksheet!H77,IF(Dashboard!BD29=TRUE,Worksheet!H76*INDEX(Sheet1!B2:D4,MATCH('Start Page'!AB22,Sheet1!A2:A4,0),MATCH(Worksheet!J76,Sheet1!B1:D1,0)),""))))))</f>
        <v>63487.276920000004</v>
      </c>
      <c r="E90" s="952">
        <f t="shared" si="0"/>
        <v>63487.276920000004</v>
      </c>
      <c r="F90"/>
    </row>
    <row r="91" spans="1:6">
      <c r="A91" s="953" t="str">
        <f>"Unbilled Unmetered (UUAC) valued at "&amp;A76&amp;""</f>
        <v xml:space="preserve">Unbilled Unmetered (UUAC) valued at </v>
      </c>
      <c r="B91" s="949"/>
      <c r="C91" s="950">
        <f>IF(Dashboard!BO$2&gt;0,"",Worksheet!H26)</f>
        <v>2.5350000000000001</v>
      </c>
      <c r="D91" s="951">
        <f>IF(Dashboard!BO$2&gt;0,"",IF(ISBLANK('Start Page'!AB22),"",IF(AND(ISBLANK(Worksheet!H77),Worksheet!Z77&lt;&gt;1),"",Worksheet!H26*(IF(Dashboard!BD29=FALSE,Worksheet!H77,IF(Dashboard!BD29=TRUE,Worksheet!H76*INDEX(Sheet1!B2:D4,MATCH('Start Page'!AB22,Sheet1!A2:A4,0),MATCH(Worksheet!J76,Sheet1!B1:D1,0)),""))))))</f>
        <v>3040.6818000000003</v>
      </c>
      <c r="E91" s="952">
        <f t="shared" si="0"/>
        <v>3040.6818000000003</v>
      </c>
      <c r="F91"/>
    </row>
    <row r="92" spans="1:6">
      <c r="A92" s="158" t="s">
        <v>2</v>
      </c>
      <c r="B92" s="125" t="s">
        <v>239</v>
      </c>
      <c r="C92" s="122">
        <f>IF(Dashboard!BO$2&gt;0,"",Worksheet!H30)</f>
        <v>245.99299999999999</v>
      </c>
      <c r="D92" s="123">
        <f>IF(Dashboard!BO$2&gt;0,"",C92*(Worksheet!$H$76*1000))</f>
        <v>3933428.07</v>
      </c>
      <c r="E92" s="605">
        <f t="shared" si="0"/>
        <v>3933428.07</v>
      </c>
      <c r="F92"/>
    </row>
    <row r="93" spans="1:6">
      <c r="A93" t="s">
        <v>51</v>
      </c>
      <c r="B93"/>
      <c r="C93" s="122">
        <f>IF(Dashboard!BO$2&gt;0,"",Worksheet!H35)</f>
        <v>29.404368467812162</v>
      </c>
      <c r="D93" s="123"/>
      <c r="E93" s="605">
        <f t="shared" si="0"/>
        <v>0</v>
      </c>
      <c r="F93"/>
    </row>
    <row r="94" spans="1:6">
      <c r="A94" s="223" t="s">
        <v>678</v>
      </c>
      <c r="B94" s="46"/>
      <c r="C94" s="126">
        <f>IF(Dashboard!BO$2&gt;0,"",Worksheet!H43)</f>
        <v>4.1689999999999996</v>
      </c>
      <c r="D94" s="127">
        <f>IF(Dashboard!BO$2&gt;0,"",IF(ISBLANK('Start Page'!AB22),"",IF(AND(ISBLANK(Worksheet!H77),Worksheet!Z77&lt;&gt;1),"",C94*Worksheet!H76*INDEX(Sheet1!B2:D4,MATCH('Start Page'!AB22,Sheet1!A2:A4,0),MATCH(Worksheet!J76,Sheet1!B1:D1,0)))))</f>
        <v>66662.31</v>
      </c>
      <c r="E94" s="606">
        <f t="shared" si="0"/>
        <v>66662.31</v>
      </c>
      <c r="F94" s="128"/>
    </row>
    <row r="95" spans="1:6">
      <c r="A95" s="935" t="s">
        <v>679</v>
      </c>
      <c r="B95" s="934"/>
      <c r="C95" s="936">
        <f>Worksheet!X50</f>
        <v>3.888346938775527</v>
      </c>
      <c r="D95" s="937">
        <f>IF(Dashboard!BO$2&gt;0,"",IF(ISBLANK('Start Page'!AB22),"",IF(AND(ISBLANK(Worksheet!H77),Worksheet!Z77&lt;&gt;1),"",C95*Worksheet!H76*INDEX(Sheet1!B2:D4,MATCH('Start Page'!AB22,Sheet1!A2:A4,0),MATCH(Worksheet!J76,Sheet1!B1:D1,0)))))</f>
        <v>62174.667551020677</v>
      </c>
      <c r="E95" s="938">
        <f t="shared" si="0"/>
        <v>62174.667551020677</v>
      </c>
      <c r="F95" s="128"/>
    </row>
    <row r="96" spans="1:6">
      <c r="A96" s="935" t="s">
        <v>1270</v>
      </c>
      <c r="B96" s="934"/>
      <c r="C96" s="936">
        <f>Worksheet!Y50</f>
        <v>1.0801836734693921</v>
      </c>
      <c r="D96" s="937">
        <f>C96*input_VPC</f>
        <v>1295.6587126530665</v>
      </c>
      <c r="E96" s="938">
        <f t="shared" si="0"/>
        <v>1295.6587126530665</v>
      </c>
      <c r="F96" s="941" t="s">
        <v>1272</v>
      </c>
    </row>
    <row r="97" spans="1:7">
      <c r="A97" s="223" t="s">
        <v>680</v>
      </c>
      <c r="B97" s="46"/>
      <c r="C97" s="126">
        <f>IF(Dashboard!BO$2&gt;0,"",Worksheet!H39)</f>
        <v>0.503</v>
      </c>
      <c r="D97" s="127">
        <f>IF(Dashboard!BO$2&gt;0,"",IF(ISBLANK('Start Page'!AB22),"",IF(AND(ISBLANK(Worksheet!H77),Worksheet!Z77&lt;&gt;1),"",C97*Worksheet!H76*INDEX(Sheet1!B2:D4,MATCH('Start Page'!AB22,Sheet1!A2:A4,0),MATCH(Worksheet!J76,Sheet1!B1:D1,0)))))</f>
        <v>8042.97</v>
      </c>
      <c r="E97" s="606">
        <f t="shared" si="0"/>
        <v>8042.97</v>
      </c>
      <c r="F97" s="128"/>
    </row>
    <row r="98" spans="1:7">
      <c r="A98" s="945" t="s">
        <v>42</v>
      </c>
      <c r="B98" s="945"/>
      <c r="C98" s="946">
        <f>IF(Dashboard!BO$2&gt;0,"",Worksheet!H46)</f>
        <v>9.6405306122449055</v>
      </c>
      <c r="D98" s="947">
        <f>IF(Dashboard!BO$2&gt;0,"",SUM(D94:D97))</f>
        <v>138175.60626367375</v>
      </c>
      <c r="E98" s="605">
        <f t="shared" si="0"/>
        <v>138175.60626367375</v>
      </c>
      <c r="F98"/>
    </row>
    <row r="99" spans="1:7">
      <c r="A99" s="54" t="str">
        <f>"Real Losses valued at "&amp;A76&amp;""</f>
        <v xml:space="preserve">Real Losses valued at </v>
      </c>
      <c r="B99" s="46"/>
      <c r="C99" s="126">
        <f>IF(Dashboard!BO$2&gt;0,"",Worksheet!H51)</f>
        <v>19.763837855567257</v>
      </c>
      <c r="D99" s="939">
        <f>IF(Dashboard!BO$2&gt;0,"",Dashboard!N50)</f>
        <v>23706.328230995812</v>
      </c>
      <c r="E99" s="606">
        <f t="shared" si="0"/>
        <v>23706.328230995812</v>
      </c>
      <c r="F99" s="605"/>
    </row>
    <row r="100" spans="1:7">
      <c r="A100" t="s">
        <v>72</v>
      </c>
      <c r="B100"/>
      <c r="C100" s="122">
        <f>IF(Dashboard!BO$2&gt;0,"",Worksheet!H57)</f>
        <v>84.868368467812161</v>
      </c>
      <c r="D100" s="124">
        <f>IF(Dashboard!BO$2&gt;0,"",D98+D99+D90+D91)</f>
        <v>228409.89321466954</v>
      </c>
      <c r="E100" s="605">
        <f t="shared" si="0"/>
        <v>228409.89321466954</v>
      </c>
      <c r="F100"/>
      <c r="G100" s="129"/>
    </row>
    <row r="101" spans="1:7">
      <c r="A101" s="942"/>
    </row>
    <row r="102" spans="1:7">
      <c r="A102" s="942" t="s">
        <v>1271</v>
      </c>
      <c r="C102" s="943">
        <f>C95+C96</f>
        <v>4.9685306122449191</v>
      </c>
      <c r="D102" s="129">
        <f>D95+D96</f>
        <v>63470.326263673742</v>
      </c>
      <c r="E102" s="129">
        <f>E95+E96</f>
        <v>63470.326263673742</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- 140 Steelton</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0.24035608308605344</v>
      </c>
      <c r="E10" s="1151"/>
      <c r="F10" s="1152"/>
      <c r="G10" s="1153"/>
      <c r="H10" s="352">
        <f>D10</f>
        <v>0.24035608308605344</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190.529</v>
      </c>
      <c r="H12" s="362"/>
      <c r="I12" s="5"/>
      <c r="K12" s="898"/>
    </row>
    <row r="13" spans="2:16" ht="22.5" customHeight="1">
      <c r="B13" s="1133"/>
      <c r="C13" s="363"/>
      <c r="D13" s="360"/>
      <c r="E13" s="1142"/>
      <c r="F13" s="365">
        <f>Worksheet!H23+Worksheet!H24</f>
        <v>190.529</v>
      </c>
      <c r="G13" s="366" t="s">
        <v>1090</v>
      </c>
      <c r="H13" s="367">
        <f>SUM(G12+G14)</f>
        <v>190.529</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245.99299999999999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52.929000000000002</v>
      </c>
      <c r="H16" s="1141"/>
      <c r="I16" s="5"/>
      <c r="K16" s="46"/>
    </row>
    <row r="17" spans="2:16" ht="22.5" customHeight="1">
      <c r="B17" s="377">
        <f>Worksheet!AG15</f>
        <v>275.63772455089821</v>
      </c>
      <c r="C17" s="378"/>
      <c r="D17" s="379"/>
      <c r="E17" s="250"/>
      <c r="F17" s="380">
        <f>Worksheet!H25+Worksheet!H26</f>
        <v>55.463999999999999</v>
      </c>
      <c r="G17" s="364" t="s">
        <v>1092</v>
      </c>
      <c r="H17" s="362"/>
      <c r="I17" s="5"/>
      <c r="K17" s="46"/>
      <c r="L17" s="121"/>
      <c r="M17" s="121"/>
      <c r="N17" s="121"/>
      <c r="O17" s="121"/>
      <c r="P17" s="121"/>
    </row>
    <row r="18" spans="2:16" ht="15.75" customHeight="1">
      <c r="B18" s="375"/>
      <c r="C18" s="1154" t="s">
        <v>763</v>
      </c>
      <c r="D18" s="360"/>
      <c r="E18" s="381"/>
      <c r="F18" s="370"/>
      <c r="G18" s="382">
        <f>Worksheet!H26</f>
        <v>2.5350000000000001</v>
      </c>
      <c r="H18" s="362"/>
      <c r="I18" s="5"/>
      <c r="K18" s="46"/>
    </row>
    <row r="19" spans="2:16" ht="22.5" customHeight="1">
      <c r="B19" s="375"/>
      <c r="C19" s="1154"/>
      <c r="D19" s="383" t="s">
        <v>116</v>
      </c>
      <c r="E19" s="356"/>
      <c r="F19" s="384"/>
      <c r="G19" s="600" t="s">
        <v>695</v>
      </c>
      <c r="H19" s="385">
        <f>Worksheet!H25+Worksheet!H26+Worksheet!H46+Worksheet!H51</f>
        <v>84.868368467812161</v>
      </c>
      <c r="I19" s="5"/>
      <c r="K19" s="46"/>
      <c r="L19" s="121"/>
      <c r="M19" s="121"/>
      <c r="N19" s="121"/>
      <c r="O19" s="121"/>
      <c r="P19" s="121"/>
    </row>
    <row r="20" spans="2:16" ht="15.75" customHeight="1">
      <c r="B20" s="375"/>
      <c r="C20" s="386">
        <f>B17+B27</f>
        <v>275.63772455089821</v>
      </c>
      <c r="D20" s="360"/>
      <c r="E20" s="250"/>
      <c r="F20" s="387" t="s">
        <v>52</v>
      </c>
      <c r="G20" s="376">
        <f>Worksheet!H39</f>
        <v>0.503</v>
      </c>
      <c r="H20" s="362"/>
      <c r="I20" s="5"/>
      <c r="K20" s="46"/>
    </row>
    <row r="21" spans="2:16" ht="14.25" customHeight="1">
      <c r="B21" s="388"/>
      <c r="C21" s="389"/>
      <c r="D21" s="386">
        <f>Worksheet!H19</f>
        <v>275.39736846781216</v>
      </c>
      <c r="E21" s="390"/>
      <c r="F21" s="380">
        <f>Worksheet!H46</f>
        <v>9.6405306122449055</v>
      </c>
      <c r="G21" s="364" t="s">
        <v>694</v>
      </c>
      <c r="H21" s="362"/>
      <c r="I21" s="5"/>
      <c r="K21" s="46"/>
      <c r="L21" s="121"/>
      <c r="M21" s="121"/>
      <c r="N21" s="121"/>
      <c r="O21" s="121"/>
      <c r="P21" s="121"/>
    </row>
    <row r="22" spans="2:16" ht="15.75" customHeight="1">
      <c r="B22" s="375"/>
      <c r="C22" s="359"/>
      <c r="D22" s="360"/>
      <c r="E22" s="250"/>
      <c r="F22" s="390"/>
      <c r="G22" s="391">
        <f>Worksheet!H41</f>
        <v>4.9685306122449049</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4.1689999999999996</v>
      </c>
      <c r="H24" s="362"/>
      <c r="I24" s="5"/>
      <c r="K24" s="46"/>
    </row>
    <row r="25" spans="2:16" ht="26.25" customHeight="1">
      <c r="B25" s="1132" t="s">
        <v>1087</v>
      </c>
      <c r="C25" s="363"/>
      <c r="D25" s="360"/>
      <c r="E25" s="393">
        <f>Worksheet!H53</f>
        <v>29.404368467812162</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19.763837855567257</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- 140 Steelton</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34.899158516980634</v>
      </c>
      <c r="AF98" s="40">
        <f t="shared" ref="AF98:AF103" si="0">AE98</f>
        <v>34.899158516980634</v>
      </c>
      <c r="AG98" s="40">
        <f>IF(AE98&lt;&gt;0,AF98/10,0)</f>
        <v>3.4899158516980635</v>
      </c>
      <c r="AH98" s="40">
        <f>IFERROR(AD98*AG98,0)</f>
        <v>34.899158516980634</v>
      </c>
      <c r="AI98" s="40">
        <f t="shared" ref="AI98:AI117" si="1">IF(AG98=0,0,AF98-AH98)</f>
        <v>0</v>
      </c>
      <c r="AJ98">
        <f t="array" aca="1" ref="AJ98" ca="1">SUM(1*(AI98&lt;$AI$98:$AI$117))+1+IF(ROW(AI98)-ROW($AI$98)=0,0,SUM(1*(AI98=OFFSET($AI$98,0,0,INDEX(ROW(AI98)-ROW($AI$98)+1,1)-1,1))))</f>
        <v>7</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6.9798317033961277E-2</v>
      </c>
      <c r="AF99" s="40">
        <f t="shared" si="0"/>
        <v>6.9798317033961277E-2</v>
      </c>
      <c r="AG99" s="40">
        <f t="shared" ref="AG99:AG117" si="3">IF(AE99&lt;&gt;0,AF99/10,0)</f>
        <v>6.9798317033961275E-3</v>
      </c>
      <c r="AH99" s="40">
        <f t="shared" ref="AH99:AH106" si="4">IFERROR(AD99*AG99,0)</f>
        <v>6.9798317033961277E-2</v>
      </c>
      <c r="AI99" s="40">
        <f t="shared" si="1"/>
        <v>0</v>
      </c>
      <c r="AJ99">
        <f t="array" aca="1" ref="AJ99" ca="1">SUM(1*(AI99&lt;$AI$98:$AI$117))+1+IF(ROW(AI99)-ROW($AI$98)=0,0,SUM(1*(AI99=OFFSET($AI$98,0,0,INDEX(ROW(AI99)-ROW($AI$98)+1,1)-1,1))))</f>
        <v>8</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9</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9</v>
      </c>
      <c r="AK100" s="46" t="str">
        <f t="shared" si="5"/>
        <v>Water Imported (WI)</v>
      </c>
      <c r="AL100">
        <f t="shared" si="6"/>
        <v>0</v>
      </c>
      <c r="AM100">
        <f t="shared" si="7"/>
        <v>1</v>
      </c>
      <c r="AN100">
        <f t="shared" si="2"/>
        <v>0</v>
      </c>
    </row>
    <row r="101" spans="28:40">
      <c r="AC101" s="220" t="s">
        <v>702</v>
      </c>
      <c r="AD101" s="41">
        <f>IF(Worksheet!M16="n/a",0,Worksheet!M16)</f>
        <v>9</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10</v>
      </c>
      <c r="AK101" s="46" t="str">
        <f t="shared" si="5"/>
        <v>WI Error Adjustment (WIEA)</v>
      </c>
      <c r="AL101">
        <f t="shared" si="6"/>
        <v>0</v>
      </c>
      <c r="AM101">
        <f t="shared" si="7"/>
        <v>1</v>
      </c>
      <c r="AN101">
        <f t="shared" si="2"/>
        <v>0</v>
      </c>
    </row>
    <row r="102" spans="28:40">
      <c r="AC102" s="216" t="s">
        <v>703</v>
      </c>
      <c r="AD102" s="41">
        <f>IF(Worksheet!F17="n/a",0,Worksheet!F17)</f>
        <v>9</v>
      </c>
      <c r="AE102" s="64">
        <f>Worksheet!Y17</f>
        <v>3.0705406513750706E-2</v>
      </c>
      <c r="AF102" s="40">
        <f t="shared" si="0"/>
        <v>3.0705406513750706E-2</v>
      </c>
      <c r="AG102" s="40">
        <f t="shared" si="3"/>
        <v>3.0705406513750707E-3</v>
      </c>
      <c r="AH102" s="40">
        <f t="shared" si="4"/>
        <v>2.7634865862375638E-2</v>
      </c>
      <c r="AI102" s="40">
        <f t="shared" si="1"/>
        <v>3.0705406513750685E-3</v>
      </c>
      <c r="AJ102">
        <f t="array" aca="1" ref="AJ102" ca="1">SUM(1*(AI102&lt;$AI$98:$AI$117))+1+IF(ROW(AI102)-ROW($AI$98)=0,0,SUM(1*(AI102=OFFSET($AI$98,0,0,INDEX(ROW(AI102)-ROW($AI$98)+1,1)-1,1))))</f>
        <v>5</v>
      </c>
      <c r="AK102" s="46" t="str">
        <f t="shared" si="5"/>
        <v>Water Exported (WE)</v>
      </c>
      <c r="AL102">
        <f t="shared" si="6"/>
        <v>1</v>
      </c>
      <c r="AM102">
        <f t="shared" si="7"/>
        <v>1</v>
      </c>
      <c r="AN102">
        <f t="shared" si="2"/>
        <v>0</v>
      </c>
    </row>
    <row r="103" spans="28:40">
      <c r="AC103" s="220" t="s">
        <v>704</v>
      </c>
      <c r="AD103" s="65">
        <f>IF(Worksheet!M17="n/a",0,Worksheet!M17)</f>
        <v>9</v>
      </c>
      <c r="AE103" s="66">
        <f>Worksheet!Z17</f>
        <v>3.3775947165125774E-4</v>
      </c>
      <c r="AF103" s="67">
        <f t="shared" si="0"/>
        <v>3.3775947165125774E-4</v>
      </c>
      <c r="AG103" s="67">
        <f t="shared" si="3"/>
        <v>3.3775947165125771E-5</v>
      </c>
      <c r="AH103" s="40">
        <f t="shared" si="4"/>
        <v>3.0398352448613195E-4</v>
      </c>
      <c r="AI103" s="67">
        <f t="shared" si="1"/>
        <v>3.3775947165125785E-5</v>
      </c>
      <c r="AJ103" s="68">
        <f t="array" aca="1" ref="AJ103" ca="1">SUM(1*(AI103&lt;$AI$98:$AI$117))+1+IF(ROW(AI103)-ROW($AI$98)=0,0,SUM(1*(AI103=OFFSET($AI$98,0,0,INDEX(ROW(AI103)-ROW($AI$98)+1,1)-1,1))))</f>
        <v>6</v>
      </c>
      <c r="AK103" s="85" t="str">
        <f t="shared" si="5"/>
        <v>WE Error Adjustment (WEEA)</v>
      </c>
      <c r="AL103">
        <f t="shared" si="6"/>
        <v>1</v>
      </c>
      <c r="AM103" s="68">
        <f t="shared" si="7"/>
        <v>1</v>
      </c>
      <c r="AN103" s="68">
        <f t="shared" si="2"/>
        <v>0</v>
      </c>
    </row>
    <row r="104" spans="28:40">
      <c r="AC104" s="217" t="s">
        <v>690</v>
      </c>
      <c r="AD104" s="73">
        <f>IF(Worksheet!F23="n/a",0,Worksheet!F23)</f>
        <v>9</v>
      </c>
      <c r="AE104" s="221">
        <f>IF(Worksheet!H23&gt;0,Worksheet!Y23,0)</f>
        <v>10.956329223110352</v>
      </c>
      <c r="AF104" s="75">
        <f t="shared" ref="AF104:AF117" si="8">AE104/$AE$120</f>
        <v>13.437007537776847</v>
      </c>
      <c r="AG104" s="75">
        <f t="shared" si="3"/>
        <v>1.3437007537776846</v>
      </c>
      <c r="AH104" s="75">
        <f t="shared" ref="AH104:AH117" si="9">AD104*AG104</f>
        <v>12.093306783999161</v>
      </c>
      <c r="AI104" s="75">
        <f t="shared" si="1"/>
        <v>1.3437007537776857</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3.0436707768896487</v>
      </c>
      <c r="AF106" s="79">
        <f t="shared" si="8"/>
        <v>3.7328037829778711</v>
      </c>
      <c r="AG106" s="79">
        <f t="shared" si="3"/>
        <v>0.3732803782977871</v>
      </c>
      <c r="AH106" s="40">
        <f t="shared" si="4"/>
        <v>3.7328037829778711</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10</v>
      </c>
      <c r="AE108" s="70">
        <v>3.5</v>
      </c>
      <c r="AF108" s="71">
        <f t="shared" si="8"/>
        <v>4.2924528301886795</v>
      </c>
      <c r="AG108" s="71">
        <f t="shared" si="3"/>
        <v>0.42924528301886794</v>
      </c>
      <c r="AH108" s="71">
        <f t="shared" si="9"/>
        <v>4.2924528301886795</v>
      </c>
      <c r="AI108" s="71">
        <f t="shared" si="1"/>
        <v>0</v>
      </c>
      <c r="AJ108" s="72">
        <f t="array" aca="1" ref="AJ108" ca="1">SUM(1*(AI108&lt;$AI$98:$AI$117))+1+IF(ROW(AI108)-ROW($AI$98)=0,0,SUM(1*(AI108=OFFSET($AI$98,0,0,INDEX(ROW(AI108)-ROW($AI$98)+1,1)-1,1))))</f>
        <v>13</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14</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4</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95.464515684340768</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48" zoomScale="115" zoomScaleNormal="115" zoomScaleSheetLayoutView="100" workbookViewId="0">
      <selection activeCell="C51" sqref="C51:L51"/>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5E85A3A-9A81-4E99-8C0F-687A705F3CAE}"/>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2026-03-05T13:45:15Z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