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david_annarumo_amwater_com/Documents/Desktop/2026 AWWA Audit/"/>
    </mc:Choice>
  </mc:AlternateContent>
  <xr:revisionPtr revIDLastSave="18" documentId="13_ncr:1_{ECCE4F79-2F65-4A06-A0DB-658B32453870}" xr6:coauthVersionLast="47" xr6:coauthVersionMax="47" xr10:uidLastSave="{677A7C2B-3D96-4411-840D-0CA9B71B8CF1}"/>
  <workbookProtection workbookPassword="FDB7" lockStructure="1"/>
  <bookViews>
    <workbookView xWindow="-12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<sst xmlns="http://schemas.openxmlformats.org/spreadsheetml/2006/main" count="2554" uniqueCount="1285">
  <si>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</si>
  <si>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</si>
  <si>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</si>
  <si>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</si>
  <si>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</si>
  <si>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</si>
  <si>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</si>
  <si>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</si>
  <si>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</si>
  <si>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</si>
  <si>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</si>
  <si>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</si>
  <si>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</si>
  <si>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</si>
  <si>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</si>
  <si>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</si>
  <si>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</si>
  <si>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</si>
  <si>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</si>
  <si>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</si>
  <si>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</si>
  <si>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</si>
  <si>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</si>
  <si>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</si>
  <si>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</si>
  <si>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</si>
  <si>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</si>
  <si>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</si>
  <si>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</si>
  <si>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</si>
  <si>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</si>
  <si>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</si>
  <si>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</si>
  <si>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</si>
  <si>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</si>
  <si>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</si>
  <si>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</si>
  <si>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</si>
  <si>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</si>
  <si>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</si>
  <si>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</si>
  <si>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</si>
  <si>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</si>
  <si>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</si>
  <si>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</si>
  <si>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</si>
  <si>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</si>
  <si>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</si>
  <si>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</si>
  <si>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</si>
  <si>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</si>
  <si>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</si>
  <si>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</si>
  <si>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</si>
  <si>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</si>
  <si>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</si>
  <si>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</si>
  <si>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</si>
  <si>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</si>
  <si>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</si>
  <si>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</si>
  <si>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</si>
  <si>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</si>
  <si>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</si>
  <si>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</si>
  <si>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</si>
  <si>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</si>
  <si>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</si>
  <si>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</si>
  <si>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</si>
  <si>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</si>
  <si>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</si>
  <si>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</si>
  <si>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</si>
  <si>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</si>
  <si>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</si>
  <si>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</si>
  <si>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</si>
  <si>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</si>
  <si>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</si>
  <si>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</si>
  <si>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</si>
  <si>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</si>
  <si>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</si>
  <si>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</si>
  <si>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</si>
  <si>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</si>
  <si>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</si>
  <si>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</si>
  <si>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</si>
  <si>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</si>
  <si>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</si>
  <si>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</si>
  <si>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</si>
  <si>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</si>
  <si>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</si>
  <si>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</si>
  <si>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</si>
  <si>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</si>
  <si>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</si>
  <si>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</si>
  <si>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</si>
  <si>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</si>
  <si>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</si>
  <si>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</si>
  <si>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</si>
  <si>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</si>
  <si>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</si>
  <si>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</si>
  <si>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</si>
  <si>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</si>
  <si>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</si>
  <si>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</si>
  <si>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</si>
  <si>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</si>
  <si>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</si>
  <si>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</si>
  <si>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</si>
  <si>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</si>
  <si>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</si>
  <si>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</si>
  <si>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</si>
  <si>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</si>
  <si>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</si>
  <si>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</si>
  <si>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</si>
  <si>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</si>
  <si>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</si>
  <si>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</si>
  <si>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</si>
  <si>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</si>
  <si>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</si>
  <si>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</si>
  <si>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</si>
  <si>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</si>
  <si>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</si>
  <si>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</si>
  <si>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</si>
  <si>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</si>
  <si>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</si>
  <si>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</si>
  <si>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</si>
  <si>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</si>
  <si>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</si>
  <si>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</si>
  <si>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</si>
  <si>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</si>
  <si>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</si>
  <si>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</si>
  <si>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</si>
  <si>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</si>
  <si>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</si>
  <si>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</si>
  <si>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</si>
  <si>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</si>
  <si>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</si>
  <si>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</si>
  <si>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</si>
  <si>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</si>
  <si>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</si>
  <si>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</si>
  <si>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</si>
  <si>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</si>
  <si>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</si>
  <si>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</si>
  <si>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</si>
  <si>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</si>
  <si>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</si>
  <si>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</si>
  <si>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</si>
  <si>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</si>
  <si>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</si>
  <si>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</si>
  <si>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</si>
  <si>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</si>
  <si>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</si>
  <si>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</si>
  <si>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</si>
  <si>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</si>
  <si>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</si>
  <si>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</si>
  <si>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</si>
  <si>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</si>
  <si>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</si>
  <si>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</si>
  <si>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</si>
  <si>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</si>
  <si>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</si>
  <si>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</si>
  <si>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</si>
  <si>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</si>
  <si>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</si>
  <si>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</si>
  <si>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</si>
  <si>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</si>
  <si>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</si>
  <si>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</si>
  <si>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</si>
  <si>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</si>
  <si>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</si>
  <si>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</si>
  <si>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</si>
  <si>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</si>
  <si>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</si>
  <si>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</si>
  <si>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</si>
  <si>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</si>
  <si>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</si>
  <si>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</si>
  <si>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</si>
  <si>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</si>
  <si>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</si>
  <si>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</si>
  <si>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</si>
  <si>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</si>
  <si>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</si>
  <si>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</si>
  <si>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</si>
  <si>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</si>
  <si>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</si>
  <si>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</si>
  <si>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</si>
  <si>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</si>
  <si>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</si>
  <si>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</si>
  <si>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</si>
  <si>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</si>
  <si>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</si>
  <si>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</si>
  <si>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</si>
  <si>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</si>
  <si>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</si>
  <si>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</si>
  <si>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</si>
  <si>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</si>
  <si>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</si>
  <si>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</si>
  <si>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</si>
  <si>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</si>
  <si>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</si>
  <si>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</si>
  <si>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</si>
  <si>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</si>
  <si>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</si>
  <si>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</si>
  <si>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</si>
  <si>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</si>
  <si>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</si>
  <si>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</si>
  <si>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</si>
  <si>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</si>
  <si>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</si>
  <si>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</si>
  <si>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</si>
  <si>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</si>
  <si>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</si>
  <si>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</si>
  <si>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</si>
  <si>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</si>
  <si>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</si>
  <si>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</si>
  <si>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</si>
  <si>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</si>
  <si>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</si>
  <si>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</si>
  <si>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</si>
  <si>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</si>
  <si>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</si>
  <si>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</si>
  <si>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</si>
  <si>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</si>
  <si>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</si>
  <si>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</si>
  <si>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</si>
  <si>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</si>
  <si>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</si>
  <si>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</si>
  <si>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</si>
  <si>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</si>
  <si>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</si>
  <si>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</si>
  <si>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</si>
  <si>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</si>
  <si>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</si>
  <si>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</si>
  <si>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</si>
  <si>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</si>
  <si>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</si>
  <si>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</si>
  <si>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</si>
  <si>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</si>
  <si>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</si>
  <si>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</si>
  <si>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</si>
  <si>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</si>
  <si>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</si>
  <si>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</si>
  <si>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</si>
  <si>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</si>
  <si>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</si>
  <si>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</si>
  <si>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</si>
  <si>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</si>
  <si>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</si>
  <si>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</si>
  <si>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</si>
  <si>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</si>
  <si>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</si>
  <si>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</si>
  <si>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</si>
  <si>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</si>
  <si>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</si>
  <si>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</si>
  <si>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</si>
  <si>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</si>
  <si>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</si>
  <si>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</si>
  <si>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</si>
  <si>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</si>
  <si>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</si>
  <si>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</si>
  <si>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</si>
  <si>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</si>
  <si>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</si>
  <si>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</si>
  <si>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</si>
  <si>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</si>
  <si>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</si>
  <si>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</si>
  <si>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</si>
  <si>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</si>
  <si>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</si>
  <si>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</si>
  <si>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</si>
  <si>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</si>
  <si>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</si>
  <si>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</si>
  <si>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</si>
  <si>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</si>
  <si>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</si>
  <si>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</si>
  <si>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</si>
  <si>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</si>
  <si>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</si>
  <si>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</si>
  <si>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</si>
  <si>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</si>
  <si>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</si>
  <si>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</si>
  <si>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</si>
  <si>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</si>
  <si>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</si>
  <si>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</si>
  <si>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</si>
  <si>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</si>
  <si>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</si>
  <si>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</si>
  <si>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</si>
  <si>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</si>
  <si>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</si>
  <si>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</si>
  <si>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</si>
  <si>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</si>
  <si>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</si>
  <si>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</si>
  <si>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</si>
  <si>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</si>
  <si>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</si>
  <si>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</si>
  <si>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</si>
  <si>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</si>
  <si>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</si>
  <si>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</si>
  <si>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</si>
  <si>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</si>
  <si>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</si>
  <si>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</si>
  <si>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</si>
  <si>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</si>
  <si>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</si>
  <si>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</si>
  <si>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</si>
  <si>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</si>
  <si>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</si>
  <si>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</si>
  <si>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</si>
  <si>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</si>
  <si>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</si>
  <si>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</si>
  <si>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</si>
  <si>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</si>
  <si>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</si>
  <si>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</si>
  <si>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</si>
  <si>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</si>
  <si>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</si>
  <si>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</si>
  <si>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</si>
  <si>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</si>
  <si>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</si>
  <si>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</si>
  <si>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</si>
  <si>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</si>
  <si>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</si>
  <si>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</si>
  <si>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</si>
  <si>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</si>
  <si>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</si>
  <si>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</si>
  <si>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</si>
  <si>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</si>
  <si>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</si>
  <si>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</si>
  <si>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</si>
  <si>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</si>
  <si>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</si>
  <si>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</si>
  <si>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</si>
  <si>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</si>
  <si>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</si>
  <si>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</si>
  <si>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</si>
  <si>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</si>
  <si>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</si>
  <si>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</si>
  <si>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</si>
  <si>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</si>
  <si>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</si>
  <si>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</si>
  <si>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</si>
  <si>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</si>
  <si>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</si>
  <si>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</si>
  <si>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</si>
  <si>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</si>
  <si>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</si>
  <si>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</si>
  <si>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</si>
  <si>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</si>
  <si>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</si>
  <si>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</si>
  <si>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</si>
  <si>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</si>
  <si>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</si>
  <si>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</si>
  <si>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</si>
  <si>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</si>
  <si>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</si>
  <si>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</si>
  <si>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</si>
  <si>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</si>
  <si>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</si>
  <si>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</si>
  <si>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</si>
  <si>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</si>
  <si>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</si>
  <si>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</si>
  <si>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</si>
  <si>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</si>
  <si>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</si>
  <si>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</si>
  <si>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</si>
  <si>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</si>
  <si>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</si>
  <si>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</si>
  <si>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</si>
  <si>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</si>
  <si>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</si>
  <si>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</si>
  <si>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</si>
  <si>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</si>
  <si>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</si>
  <si>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</si>
  <si>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</si>
  <si>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</si>
  <si>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</si>
  <si>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</si>
  <si>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</si>
  <si>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</si>
  <si>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</si>
  <si>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</si>
  <si>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</si>
  <si>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</si>
  <si>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</si>
  <si>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</si>
  <si>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</si>
  <si>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</si>
  <si>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</si>
  <si>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</si>
  <si>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</si>
  <si>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</si>
  <si>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</si>
  <si>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</si>
  <si>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</si>
  <si>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</si>
  <si>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</si>
  <si>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</si>
  <si>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</si>
  <si>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</si>
  <si>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</si>
  <si>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</si>
  <si>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</si>
  <si>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</si>
  <si>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</si>
  <si>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</si>
  <si>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</si>
  <si>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</si>
  <si>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</si>
  <si>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</si>
  <si>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</si>
  <si>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</si>
  <si>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</si>
  <si>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</si>
  <si>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</si>
  <si>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</si>
  <si>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</si>
  <si>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</si>
  <si>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</si>
  <si>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</si>
  <si>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</si>
  <si>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</si>
  <si>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</si>
  <si>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</si>
  <si>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</si>
  <si>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</si>
  <si>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</si>
  <si>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</si>
  <si>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</si>
  <si>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</si>
  <si>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</si>
  <si>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</si>
  <si>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</si>
  <si>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</si>
  <si>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</si>
  <si>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</si>
  <si>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</si>
  <si>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</si>
  <si>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</si>
  <si>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</si>
  <si>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</si>
  <si>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</si>
  <si>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</si>
  <si>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</si>
  <si>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</si>
  <si>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</si>
  <si>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</si>
  <si>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</si>
  <si>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</si>
  <si>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</si>
  <si>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</si>
  <si>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</si>
  <si>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</si>
  <si>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</si>
  <si>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</si>
  <si>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</si>
  <si>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</si>
  <si>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</si>
  <si>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</si>
  <si>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</si>
  <si>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</si>
  <si>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</si>
  <si>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</si>
  <si>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</si>
  <si>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</si>
  <si>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</si>
  <si>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</si>
  <si>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</si>
  <si>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</si>
  <si>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</si>
  <si>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</si>
  <si>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</si>
  <si>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</si>
  <si>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</si>
  <si>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</si>
  <si>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</si>
  <si>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</si>
  <si>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</si>
  <si>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</si>
  <si>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</si>
  <si>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</si>
  <si>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</si>
  <si>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</si>
  <si>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</si>
  <si>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</si>
  <si>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</si>
  <si>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</si>
  <si>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</si>
  <si>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</si>
  <si>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</si>
  <si>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</si>
  <si>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</si>
  <si>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</si>
  <si>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</si>
  <si>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</si>
  <si>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</si>
  <si>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</si>
  <si>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</si>
  <si>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</si>
  <si>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</si>
  <si>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</si>
  <si>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</si>
  <si>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</si>
  <si>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</si>
  <si>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</si>
  <si>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</si>
  <si>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</si>
  <si>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</si>
  <si>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</si>
  <si>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</si>
  <si>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</si>
  <si>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</si>
  <si>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</si>
  <si>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</si>
  <si>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</si>
  <si>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</si>
  <si>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</si>
  <si>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</si>
  <si>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</si>
  <si>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</si>
  <si>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</si>
  <si>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</si>
  <si>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</si>
  <si>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</si>
  <si>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</si>
  <si>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</si>
  <si>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</si>
  <si>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</si>
  <si>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</si>
  <si>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</si>
  <si>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</si>
  <si>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</si>
  <si>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</si>
  <si>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</si>
  <si>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</si>
  <si>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</si>
  <si>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</si>
  <si>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</si>
  <si>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</si>
  <si>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</si>
  <si>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</si>
  <si>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</si>
  <si>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</si>
  <si>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</si>
  <si>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</si>
  <si>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</si>
  <si>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</si>
  <si>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</si>
  <si>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</si>
  <si>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</si>
  <si>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</si>
  <si>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</si>
  <si>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</si>
  <si>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</si>
  <si>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</si>
  <si>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</si>
  <si>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</si>
  <si>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</si>
  <si>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</si>
  <si>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</si>
  <si>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</si>
  <si>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</si>
  <si>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</si>
  <si>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</si>
  <si>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</si>
  <si>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</si>
  <si>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</si>
  <si>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</si>
  <si>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</si>
  <si>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</si>
  <si>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</si>
  <si>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</si>
  <si>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</si>
  <si>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</si>
  <si>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</si>
  <si>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</si>
  <si>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</si>
  <si>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</si>
  <si>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</si>
  <si>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</si>
  <si>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</si>
  <si>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</si>
  <si>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</si>
  <si>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</si>
  <si>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</si>
  <si>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</si>
  <si>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</si>
  <si>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</si>
  <si>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</si>
  <si>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</si>
  <si>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</si>
  <si>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</si>
  <si>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</si>
  <si>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</si>
  <si>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</si>
  <si>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</si>
  <si>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</si>
  <si>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</si>
  <si>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</si>
  <si>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</si>
  <si>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</si>
  <si>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</si>
  <si>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</si>
  <si>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</si>
  <si>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</si>
  <si>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</si>
  <si>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</si>
  <si>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</si>
  <si>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</si>
  <si>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</si>
  <si>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</si>
  <si>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</si>
  <si>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</si>
  <si>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</si>
  <si>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</si>
  <si>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</si>
  <si>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</si>
  <si>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</si>
  <si>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</si>
  <si>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</si>
  <si>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</si>
  <si>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</si>
  <si>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</si>
  <si>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</si>
  <si>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</si>
  <si>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</si>
  <si>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</si>
  <si>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</si>
  <si>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</si>
  <si>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</si>
  <si>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</si>
  <si>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</si>
  <si>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</si>
  <si>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</si>
  <si>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</si>
  <si>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</si>
  <si>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</si>
  <si>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</si>
  <si>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</si>
  <si>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</si>
  <si>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</si>
  <si>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</si>
  <si>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</si>
  <si>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</si>
  <si>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</si>
  <si>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</si>
  <si>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</si>
  <si>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</si>
  <si>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</si>
  <si>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</si>
  <si>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</si>
  <si>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</si>
  <si>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</si>
  <si>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</si>
  <si>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</si>
  <si>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</si>
  <si>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</si>
  <si>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</si>
  <si>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</si>
  <si>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</si>
  <si>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</si>
  <si>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</si>
  <si>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</si>
  <si>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</si>
  <si>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</si>
  <si>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</si>
  <si>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</si>
  <si>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</si>
  <si>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</si>
  <si>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</si>
  <si>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</si>
  <si>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</si>
  <si>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</si>
  <si>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</si>
  <si>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</si>
  <si>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</si>
  <si>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</si>
  <si>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</si>
  <si>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</si>
  <si>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</si>
  <si>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</si>
  <si>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</si>
  <si>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</si>
  <si>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</si>
  <si>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</si>
  <si>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</si>
  <si>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</si>
  <si>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</si>
  <si>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</si>
  <si>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</si>
  <si>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</si>
  <si>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</si>
  <si>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</si>
  <si>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</si>
  <si>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</si>
  <si>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</si>
  <si>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</si>
  <si>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</si>
  <si>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</si>
  <si>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</si>
  <si>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</si>
  <si>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</si>
  <si>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</si>
  <si>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</si>
  <si>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</si>
  <si>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</si>
  <si>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</si>
  <si>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</si>
  <si>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</si>
  <si>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</si>
  <si>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</si>
  <si>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</si>
  <si>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</si>
  <si>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</si>
  <si>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</si>
  <si>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</si>
  <si>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</si>
  <si>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</si>
  <si>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</si>
  <si>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</si>
  <si>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</si>
  <si>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</si>
  <si>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</si>
  <si>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</si>
  <si>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</si>
  <si>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</si>
  <si>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</si>
  <si>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</si>
  <si>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</si>
  <si>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</si>
  <si>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</si>
  <si>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</si>
  <si>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</si>
  <si>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</si>
  <si>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</si>
  <si>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</si>
  <si>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</si>
  <si>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</si>
  <si>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</si>
  <si>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</si>
  <si>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</si>
  <si>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</si>
  <si>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</si>
  <si>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</si>
  <si>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</si>
  <si>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</si>
  <si>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</si>
  <si>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</si>
  <si>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</si>
  <si>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</si>
  <si>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</si>
  <si>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</si>
  <si>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</si>
  <si>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</si>
  <si>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</si>
  <si>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</si>
  <si>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</si>
  <si>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</si>
  <si>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</si>
  <si>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</si>
  <si>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</si>
  <si>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</si>
  <si>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</si>
  <si>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</si>
  <si>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</si>
  <si>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</si>
  <si>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</si>
  <si>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</si>
  <si>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</si>
  <si>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</si>
  <si>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</si>
  <si>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</si>
  <si>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</si>
  <si>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</si>
  <si>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</si>
  <si>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</si>
  <si>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</si>
  <si>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</si>
  <si>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</si>
  <si>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</si>
  <si>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</si>
  <si>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</si>
  <si>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</si>
  <si>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</si>
  <si>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</si>
  <si>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</si>
  <si>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</si>
  <si>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</si>
  <si>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</si>
  <si>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</si>
  <si>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</si>
  <si>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</si>
  <si>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</si>
  <si>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</si>
  <si>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</si>
  <si>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</si>
  <si>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</si>
  <si>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</si>
  <si>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</si>
  <si>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</si>
  <si>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</si>
  <si>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</si>
  <si>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</si>
  <si>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</si>
  <si>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</si>
  <si>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</si>
  <si>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</si>
  <si>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</si>
  <si>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</si>
  <si>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</si>
  <si>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</si>
  <si>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</si>
  <si>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</si>
  <si>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</si>
  <si>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</si>
  <si>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</si>
  <si>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</si>
  <si>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</si>
  <si>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</si>
  <si>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</si>
  <si>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</si>
  <si>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</si>
  <si>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</si>
  <si>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</si>
  <si>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</si>
  <si>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</si>
  <si>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</si>
  <si>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</si>
  <si>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</si>
  <si>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</si>
  <si>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</si>
  <si>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</si>
  <si>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</si>
  <si>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</si>
  <si>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</si>
  <si>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</si>
  <si>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</si>
  <si>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</si>
  <si>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</si>
  <si>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</si>
  <si>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</si>
  <si>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</si>
  <si>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</si>
  <si>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</si>
  <si>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</si>
  <si>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</si>
  <si>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</si>
  <si>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</si>
  <si>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</si>
  <si>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</si>
  <si>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</si>
  <si>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</si>
  <si>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</si>
  <si>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</si>
  <si>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</si>
  <si>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</si>
  <si>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</si>
  <si>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</si>
  <si>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</si>
  <si>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</si>
  <si>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</si>
  <si>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</si>
  <si>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</si>
  <si>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</si>
  <si>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</si>
  <si>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</si>
  <si>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</si>
  <si>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</si>
  <si>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</si>
  <si>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</si>
  <si>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</si>
  <si>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</si>
  <si>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</si>
  <si>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</si>
  <si>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</si>
  <si>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</si>
  <si>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</si>
  <si>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</si>
  <si>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</si>
  <si>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</si>
  <si>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</si>
  <si>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</si>
  <si>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</si>
  <si>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</si>
  <si>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</si>
  <si>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</si>
  <si>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</si>
  <si>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</si>
  <si>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</si>
  <si>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</si>
  <si>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</si>
  <si>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</si>
  <si>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</si>
  <si>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</si>
  <si>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</si>
  <si>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</si>
  <si>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</si>
  <si>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</si>
  <si>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</si>
  <si>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</si>
  <si>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</si>
  <si>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</si>
  <si>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</si>
  <si>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</si>
  <si>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</si>
  <si>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</si>
  <si>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</si>
  <si>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</si>
  <si>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</si>
  <si>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</si>
  <si>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</si>
  <si>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</si>
  <si>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</si>
  <si>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</si>
  <si>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</si>
  <si>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</si>
  <si>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</si>
  <si>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</si>
  <si>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</si>
  <si>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</si>
  <si>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</si>
  <si>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</si>
  <si>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</si>
  <si>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</si>
  <si>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</si>
  <si>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</si>
  <si>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</si>
  <si>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</si>
  <si>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</si>
  <si>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</si>
  <si>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</si>
  <si>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</si>
  <si>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</si>
  <si>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</si>
  <si>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</si>
  <si>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</si>
  <si>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</si>
  <si>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</si>
  <si>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</si>
  <si>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</si>
  <si>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</si>
  <si>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</si>
  <si>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</si>
  <si>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</si>
  <si>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</si>
  <si>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</si>
  <si>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</si>
  <si>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</si>
  <si>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</si>
  <si>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</si>
  <si>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</si>
  <si>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</si>
  <si>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</si>
  <si>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</si>
  <si>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</si>
  <si>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</si>
  <si>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</si>
  <si>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</si>
  <si>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</si>
  <si>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</si>
  <si>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</si>
  <si>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</si>
  <si>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</si>
  <si>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</si>
  <si>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</si>
  <si>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</si>
  <si>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</si>
  <si>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</si>
  <si>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</si>
  <si>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</si>
  <si>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</si>
  <si>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</si>
  <si>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</si>
  <si>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</si>
  <si>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</si>
  <si>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</si>
  <si>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</si>
  <si>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</si>
  <si>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</si>
  <si>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</si>
  <si>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</si>
  <si>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</si>
  <si>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</si>
  <si>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</si>
  <si>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</si>
  <si>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</si>
  <si>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</si>
  <si>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</si>
  <si>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</si>
  <si>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</si>
  <si>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</si>
  <si>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</si>
  <si>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</si>
  <si>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</si>
  <si>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</si>
  <si>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</si>
  <si>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</si>
  <si>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</si>
  <si>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</si>
  <si>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</si>
  <si>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</si>
  <si>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</si>
  <si>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</si>
  <si>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</si>
  <si>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</si>
  <si>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</si>
  <si>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</si>
  <si>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</si>
  <si>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</si>
  <si>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</si>
  <si>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</si>
  <si>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</si>
  <si>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</si>
  <si>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</si>
  <si>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</si>
  <si>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</si>
  <si>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</si>
  <si>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</si>
  <si>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</si>
  <si>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</si>
  <si>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</si>
  <si>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</si>
  <si>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</si>
  <si>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</si>
  <si>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</si>
  <si>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</si>
  <si>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</si>
  <si>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</si>
  <si>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</si>
  <si>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</si>
  <si>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</si>
  <si>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</si>
  <si>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</si>
  <si>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</si>
  <si>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</si>
  <si>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</si>
  <si>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</si>
  <si>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</si>
  <si>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</si>
  <si>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</si>
  <si>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</si>
  <si>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</si>
  <si>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</si>
  <si>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</si>
  <si>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</si>
  <si>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</si>
  <si>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</si>
  <si>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</si>
  <si>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</si>
  <si>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</si>
  <si>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</si>
  <si>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</si>
  <si>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</si>
  <si>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</si>
  <si>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</si>
  <si>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</si>
  <si>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</si>
  <si>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</si>
  <si>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</si>
  <si>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</si>
  <si>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</si>
  <si>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</si>
  <si>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</si>
  <si>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</si>
  <si>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</si>
  <si>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</si>
  <si>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</si>
  <si>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</si>
  <si>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</si>
  <si>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</si>
  <si>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</si>
  <si>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</si>
  <si>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</si>
  <si>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</si>
  <si>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</si>
  <si>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</si>
  <si>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</si>
  <si>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</si>
  <si>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</si>
  <si>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</si>
  <si>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</si>
  <si>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</si>
  <si>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</si>
  <si>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</si>
  <si>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</si>
  <si>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</si>
  <si>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</si>
  <si>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</si>
  <si>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</si>
  <si>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</si>
  <si>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</si>
  <si>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</si>
  <si>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</si>
  <si>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</si>
  <si>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</si>
  <si>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</si>
  <si>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</si>
  <si>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</si>
  <si>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</si>
  <si>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</si>
  <si>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</si>
  <si>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</si>
  <si>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</si>
  <si>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</si>
  <si>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</si>
  <si>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</si>
  <si>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</si>
  <si>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</si>
  <si>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</si>
  <si>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</si>
  <si>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</si>
  <si>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</si>
  <si>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</si>
  <si>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</si>
  <si>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</si>
  <si>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</si>
  <si>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</si>
  <si>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</si>
  <si>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</si>
  <si>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</si>
  <si>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</si>
  <si>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</si>
  <si>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</si>
  <si>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</si>
  <si>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</si>
  <si>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</si>
  <si>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</si>
  <si>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</si>
  <si>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</si>
  <si>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</si>
  <si>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</si>
  <si>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</si>
  <si>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</si>
  <si>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</si>
  <si>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</si>
  <si>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</si>
  <si>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</si>
  <si>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</si>
  <si>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</si>
  <si>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</si>
  <si>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</si>
  <si>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</si>
  <si>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</si>
  <si>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</si>
  <si>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</si>
  <si>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</si>
  <si>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</si>
  <si>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</si>
  <si>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</si>
  <si>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</si>
  <si>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</si>
  <si>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</si>
  <si>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</si>
  <si>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</si>
  <si>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</si>
  <si>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</si>
  <si>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</si>
  <si>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</si>
  <si>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</si>
  <si>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</si>
  <si>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</si>
  <si>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</si>
  <si>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</si>
  <si>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</si>
  <si>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</si>
  <si>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</si>
  <si>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</si>
  <si>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</si>
  <si>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</si>
  <si>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</si>
  <si>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</si>
  <si>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</si>
  <si>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</si>
  <si>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</si>
  <si>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</si>
  <si>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</si>
  <si>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PAW-Brownsville District 250</t>
  </si>
  <si>
    <t>David Annarumo</t>
  </si>
  <si>
    <t>david.annarumo@amwater.com</t>
  </si>
  <si>
    <t>Brownsville</t>
  </si>
  <si>
    <t>USA</t>
  </si>
  <si>
    <t>Calendar</t>
  </si>
  <si>
    <t>5260005</t>
  </si>
  <si>
    <t>N/A</t>
  </si>
  <si>
    <t>412-965-3382</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</si>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</sst>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55.509186200553067</c:v>
                </c:pt>
                <c:pt idx="1">
                  <c:v>2.0024160337996988</c:v>
                </c:pt>
                <c:pt idx="2">
                  <c:v>192.79040199060955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4.1026733417577486</c:v>
                </c:pt>
                <c:pt idx="1">
                  <c:v>0.26113598867139654</c:v>
                </c:pt>
                <c:pt idx="2">
                  <c:v>28.278189253495423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23.899669781370093</c:v>
                </c:pt>
                <c:pt idx="1">
                  <c:v>0.38772920688421864</c:v>
                </c:pt>
                <c:pt idx="2">
                  <c:v>24.178751872273015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35.54734395994759</c:v>
                </c:pt>
                <c:pt idx="1">
                  <c:v>0.56875750335916142</c:v>
                </c:pt>
                <c:pt idx="2">
                  <c:v>34.978586456588431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84</c:v>
                </c:pt>
                <c:pt idx="1">
                  <c:v>1.2666666666666666</c:v>
                </c:pt>
                <c:pt idx="2" formatCode="General">
                  <c:v>114.73333333333333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91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0.66800000000000004</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8.9359999999999999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0.59185750000000004</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4.8451224489795965</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0.59185750000000004</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75.541356580871138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$326,973/Yr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1810.3468</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24217.453600000001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9463.8014250000015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77292.467689795987</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9463.8014250000015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204724.63046981886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41.065808526427517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1.6680779268901127</c:v>
                </c:pt>
                <c:pt idx="1">
                  <c:v>9.0856271993300333E-2</c:v>
                </c:pt>
                <c:pt idx="2">
                  <c:v>9.5980998002791296</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51.406512858795317</c:v>
                </c:pt>
                <c:pt idx="1">
                  <c:v>1.8469276802355887</c:v>
                </c:pt>
                <c:pt idx="2">
                  <c:v>177.6125194904177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1828.2917029108653</c:v>
                </c:pt>
                <c:pt idx="1">
                  <c:v>97.186039594358903</c:v>
                </c:pt>
                <c:pt idx="2" formatCode="_(* #,##0_);_(* \(#,##0\);_(* &quot;-&quot;??_);_(@_)">
                  <c:v>10222.777206789639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image" Target="../media/image12.emf"/><Relationship Id="rId10" Type="http://schemas.openxmlformats.org/officeDocument/2006/relationships/image" Target="../media/image7.emf"/><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8.emf"/><Relationship Id="rId22" Type="http://schemas.openxmlformats.org/officeDocument/2006/relationships/hyperlink" Target="#'Interactive Data Grading'!Lm"/><Relationship Id="rId27" Type="http://schemas.openxmlformats.org/officeDocument/2006/relationships/hyperlink" Target="#'Interactive Data Grading'!VPC"/><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57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58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581"/>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582"/>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583"/>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584"/>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585"/>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586"/>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587"/>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588"/>
                  </a:ext>
                </a:extLst>
              </xdr:cNvPicPr>
            </xdr:nvPicPr>
            <xdr:blipFill rotWithShape="1">
              <a:blip xmlns:r="http://schemas.openxmlformats.org/officeDocument/2006/relationships" r:embed="rId14"/>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589"/>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590"/>
                  </a:ext>
                </a:extLst>
              </xdr:cNvPicPr>
            </xdr:nvPicPr>
            <xdr:blipFill rotWithShape="1">
              <a:blip xmlns:r="http://schemas.openxmlformats.org/officeDocument/2006/relationships" r:embed="rId14"/>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591"/>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592"/>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593"/>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594"/>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595"/>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596"/>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597"/>
                  </a:ext>
                </a:extLst>
              </xdr:cNvPicPr>
            </xdr:nvPicPr>
            <xdr:blipFill rotWithShape="1">
              <a:blip xmlns:r="http://schemas.openxmlformats.org/officeDocument/2006/relationships" r:embed="rId2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T16" sqref="AT16"/>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5"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5"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5"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5"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5"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899999999999999"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5"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5"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1283</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5"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1278</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1279</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46107</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1280</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1281</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1282</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1282</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4690</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5"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5"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5"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5"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5"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5"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5"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5"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P19" sqref="P19"/>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PAW-Brownsville District 250</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9</v>
      </c>
      <c r="G15" s="94"/>
      <c r="H15" s="533">
        <v>329.4</v>
      </c>
      <c r="I15" s="269"/>
      <c r="J15" s="270" t="str">
        <f>IF('Start Page'!$AB$22="million gallons (US)","MG/Yr",IF('Start Page'!$AB$22="Megalitres (thousand cubic metres)","ML/Yr",IF('Start Page'!$AB$22="acre-feet","Acre-ft/Yr","")))</f>
        <v>MG/Yr</v>
      </c>
      <c r="K15" s="844" t="s">
        <v>881</v>
      </c>
      <c r="L15" s="607" t="s">
        <v>882</v>
      </c>
      <c r="M15" s="492">
        <f>'Interactive Data Grading'!D43</f>
        <v>9</v>
      </c>
      <c r="N15" s="270"/>
      <c r="O15" s="487">
        <v>5.0000000000000001E-3</v>
      </c>
      <c r="P15" s="580" t="s">
        <v>787</v>
      </c>
      <c r="Q15" s="1033"/>
      <c r="R15" s="1038"/>
      <c r="S15" s="491" t="str">
        <f>IF('Start Page'!$AB$22="million gallons (US)","MG/Yr",IF('Start Page'!$AB$22="Megalitres (thousand cubic metres)","ML/Yr",IF('Start Page'!$AB$22="acre-feet","acre-ft/yr","")))</f>
        <v>MG/Yr</v>
      </c>
      <c r="T15" s="581" t="s">
        <v>1284</v>
      </c>
      <c r="U15" s="559" t="s">
        <v>921</v>
      </c>
      <c r="V15" s="91"/>
      <c r="W15" s="484">
        <f>IF(P15="percent",1,2)</f>
        <v>1</v>
      </c>
      <c r="X15" s="102">
        <f>IF(H15&gt;0,IF(W15=1,O15*H15,Q15),0)</f>
        <v>1.647</v>
      </c>
      <c r="Y15" s="103">
        <f>$Y$19/$Y$18*H15</f>
        <v>34.809467305549774</v>
      </c>
      <c r="Z15" s="147">
        <f>$Y$19/$Y$18*ABS(X15)</f>
        <v>0.17404733652774887</v>
      </c>
      <c r="AA15" s="896">
        <f>IF(W15=1,input_VOS-input_VOS/(1+O15*AB15),Q15*AB15)</f>
        <v>1.6388059701492352</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327.76119402985074</v>
      </c>
    </row>
    <row r="16" spans="1:33">
      <c r="A16" s="91"/>
      <c r="B16" s="562" t="s">
        <v>908</v>
      </c>
      <c r="C16" s="529" t="s">
        <v>40</v>
      </c>
      <c r="D16" s="841" t="s">
        <v>881</v>
      </c>
      <c r="E16" s="577" t="s">
        <v>882</v>
      </c>
      <c r="F16" s="492">
        <f>'Interactive Data Grading'!D74</f>
        <v>9</v>
      </c>
      <c r="G16" s="94"/>
      <c r="H16" s="532">
        <v>0.156</v>
      </c>
      <c r="I16" s="269"/>
      <c r="J16" s="270" t="str">
        <f>IF('Start Page'!$AB$22="million gallons (US)","MG/Yr",IF('Start Page'!$AB$22="Megalitres (thousand cubic metres)","ML/Yr",IF('Start Page'!$AB$22="acre-feet","Acre-ft/Yr","")))</f>
        <v>MG/Yr</v>
      </c>
      <c r="K16" s="844" t="s">
        <v>881</v>
      </c>
      <c r="L16" s="607" t="s">
        <v>882</v>
      </c>
      <c r="M16" s="492">
        <f>'Interactive Data Grading'!D96</f>
        <v>9</v>
      </c>
      <c r="N16" s="270"/>
      <c r="O16" s="487">
        <v>0</v>
      </c>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1.6485357922482589E-2</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0.156</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331.20299999999997</v>
      </c>
      <c r="Z18" s="148"/>
      <c r="AF18" s="264">
        <f>SUM(AF15:AF17)</f>
        <v>0</v>
      </c>
      <c r="AG18" s="46" t="s">
        <v>1199</v>
      </c>
    </row>
    <row r="19" spans="1:33" ht="13.5" thickBot="1">
      <c r="A19" s="91"/>
      <c r="B19" s="561"/>
      <c r="C19" s="1074" t="s">
        <v>109</v>
      </c>
      <c r="D19" s="1074"/>
      <c r="E19" s="1074"/>
      <c r="F19" s="1074"/>
      <c r="G19" s="265"/>
      <c r="H19" s="868">
        <f>IF(AF18&gt;0,"Select under/over",IF(H15&gt;0,IF(W15=1,H15/(1+O15*AB15),H15-Q15*AB15),0)+IF(H16&gt;0,IF(W16=1,H16/(1+O16*AB16),H16-Q16*AB16),0)-IF(H17&gt;0,IF(W17=1,H17/(1+O17*AB17),H17-Q17*AB17),0))</f>
        <v>327.91719402985075</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8</v>
      </c>
      <c r="G23" s="94"/>
      <c r="H23" s="321">
        <v>236.74299999999999</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13.960608396409601</v>
      </c>
      <c r="Z23" s="154"/>
      <c r="AA23" s="158" t="s">
        <v>780</v>
      </c>
    </row>
    <row r="24" spans="1:33">
      <c r="A24" s="91"/>
      <c r="B24" s="562" t="s">
        <v>911</v>
      </c>
      <c r="C24" s="529" t="s">
        <v>482</v>
      </c>
      <c r="D24" s="841" t="s">
        <v>881</v>
      </c>
      <c r="E24" s="577" t="s">
        <v>882</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3.9391603590398089E-2</v>
      </c>
      <c r="Z24" s="146"/>
    </row>
    <row r="25" spans="1:33" ht="13.35" customHeight="1">
      <c r="A25" s="91"/>
      <c r="B25" s="562" t="s">
        <v>919</v>
      </c>
      <c r="C25" s="529" t="s">
        <v>483</v>
      </c>
      <c r="D25" s="841" t="s">
        <v>881</v>
      </c>
      <c r="E25" s="577" t="s">
        <v>882</v>
      </c>
      <c r="F25" s="492">
        <f>'Interactive Data Grading'!D224</f>
        <v>10</v>
      </c>
      <c r="G25" s="94"/>
      <c r="H25" s="501">
        <v>0.66800000000000004</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237.411</v>
      </c>
      <c r="Z25" s="146"/>
      <c r="AF25" s="99" t="s">
        <v>148</v>
      </c>
    </row>
    <row r="26" spans="1:33" ht="15" customHeight="1" thickBot="1">
      <c r="A26" s="91"/>
      <c r="B26" s="562" t="s">
        <v>920</v>
      </c>
      <c r="C26" s="529" t="s">
        <v>484</v>
      </c>
      <c r="D26" s="841" t="s">
        <v>881</v>
      </c>
      <c r="E26" s="577" t="s">
        <v>882</v>
      </c>
      <c r="F26" s="492">
        <f>'Interactive Data Grading'!D247</f>
        <v>8</v>
      </c>
      <c r="G26" s="94"/>
      <c r="H26" s="498">
        <f>IF(OR(W26=1,AND(W26=2,Q26=0)),O26*SUM(H23:H24),Q26)</f>
        <v>8.9359999999999999</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8.9359999999999999</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246.34700000000001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81.57019402985074</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0.59185750000000004</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1033"/>
      <c r="R39" s="103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4.8451224489795948</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0.59185750000000004</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1033"/>
      <c r="R43" s="1033"/>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6.0288374489795942</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4.8314897959183725</v>
      </c>
      <c r="Y50" s="135">
        <f>IFERROR(IF(W41=1,((H25)/(1-(O41*X41)))-(H25),Q41*H25/(H23+H25)),0)</f>
        <v>1.363265306122452E-2</v>
      </c>
      <c r="Z50" s="923">
        <f>SUM(X50:Y50)</f>
        <v>4.8451224489795965</v>
      </c>
      <c r="AA50" s="1070"/>
      <c r="AB50" s="1070"/>
      <c r="AC50" s="1070"/>
    </row>
    <row r="51" spans="1:29">
      <c r="A51" s="91"/>
      <c r="B51" s="562"/>
      <c r="C51" s="1050" t="s">
        <v>662</v>
      </c>
      <c r="D51" s="1050"/>
      <c r="E51" s="1050"/>
      <c r="F51" s="1050"/>
      <c r="G51" s="869"/>
      <c r="H51" s="868">
        <f>IFERROR(H35-H46,"")</f>
        <v>75.541356580871138</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77255.52183673477</v>
      </c>
      <c r="Y51" s="940">
        <f>Y50*input_VPC</f>
        <v>36.945853061224568</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81.57019402985074</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91.174194029850753</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113.2</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4026</v>
      </c>
      <c r="I62" s="291"/>
      <c r="J62" s="292"/>
      <c r="K62" s="101"/>
      <c r="L62" s="101"/>
      <c r="M62" s="292" t="s">
        <v>902</v>
      </c>
      <c r="N62" s="101"/>
      <c r="U62" s="256"/>
      <c r="V62" s="91"/>
    </row>
    <row r="63" spans="1:29">
      <c r="A63" s="91"/>
      <c r="B63" s="562"/>
      <c r="C63" s="529" t="s">
        <v>165</v>
      </c>
      <c r="D63" s="53"/>
      <c r="E63" s="512"/>
      <c r="F63" s="273"/>
      <c r="G63" s="53"/>
      <c r="H63" s="500">
        <f>IF(ISERROR(H62/H61),"",H62/H61)</f>
        <v>35.565371024734979</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19.600000000000001</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19.600000000000001</v>
      </c>
      <c r="X67" s="54" t="s">
        <v>130</v>
      </c>
      <c r="Y67" s="54"/>
      <c r="Z67" s="54"/>
    </row>
    <row r="68" spans="1:26">
      <c r="A68" s="91"/>
      <c r="B68" s="562" t="s">
        <v>915</v>
      </c>
      <c r="C68" s="529" t="s">
        <v>487</v>
      </c>
      <c r="D68" s="841" t="s">
        <v>881</v>
      </c>
      <c r="E68" s="577" t="s">
        <v>882</v>
      </c>
      <c r="F68" s="492">
        <f>'Interactive Data Grading'!D422</f>
        <v>8</v>
      </c>
      <c r="G68" s="53"/>
      <c r="H68" s="325">
        <v>93.4</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2710.1</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1834307</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IV (71-90)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Billed Metered (BMAC)</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Unauthorized Consumption (UC)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35" activePane="bottomLeft" state="frozen"/>
      <selection activeCell="B15" sqref="B15:F17"/>
      <selection pane="bottomLeft" activeCell="AC249" sqref="AC249"/>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PAW-Brownsville District 250</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5"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f>VLOOKUP(D63,$P$7:$Q$15,2,FALSE)</f>
        <v>1</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150000000000006"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269</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9</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269</v>
      </c>
      <c r="E14" s="753" t="str">
        <f t="shared" ref="E14:E19" si="1">IFERROR(IF(OR($D$20=10,NOT(ISNUMBER($D$20))),"",IF(I14=$I$20,"Limiting","")),"")</f>
        <v>Limiting</v>
      </c>
      <c r="F14" s="327"/>
      <c r="G14" s="810">
        <f>IF(D13=VOS!F23,1,IFERROR(IF(H9&lt;7,1,IF(LEN(D14)&gt;0,1,0)),""))</f>
        <v>1</v>
      </c>
      <c r="H14" s="818">
        <f>VLOOKUP('Interactive Data Grading'!D14,VOS!$G$6:$M$16,7,FALSE)</f>
        <v>7</v>
      </c>
      <c r="I14" s="819">
        <f>IF(AND(H11&gt;=7,H14&gt;=7),MAX(H14,9),IF(AND(H11&gt;3,H11&lt;7,H14&gt;3,H14&lt;7),MAX(H11,H14),IF(H11&gt;=7,MAX(7,H14),H14)))</f>
        <v>9</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721</v>
      </c>
      <c r="E18" s="753" t="str">
        <f t="shared" si="1"/>
        <v>Limiting</v>
      </c>
      <c r="F18" s="327"/>
      <c r="G18" s="810">
        <f>IFERROR(IF(H9&lt;7,1,IF(LEN(D18)&gt;0,1,0)),"")</f>
        <v>1</v>
      </c>
      <c r="H18" s="818">
        <f>VLOOKUP('Interactive Data Grading'!D18,VOS!$K$6:$M$16,3,FALSE)</f>
        <v>9</v>
      </c>
      <c r="I18" s="818">
        <f>H18</f>
        <v>9</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9</v>
      </c>
      <c r="E20" s="753"/>
      <c r="F20" s="327"/>
      <c r="G20" s="811">
        <f>MIN(G9:G19)</f>
        <v>1</v>
      </c>
      <c r="H20" s="821">
        <f>MIN(H9:H19)</f>
        <v>7</v>
      </c>
      <c r="I20" s="821">
        <f t="array" ref="I20">MIN(IF(ISNUMBER(I9:I19),I9:I19))</f>
        <v>9</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267</v>
      </c>
      <c r="E41" s="753" t="str">
        <f t="shared" si="3"/>
        <v>Limiting</v>
      </c>
      <c r="F41" s="327"/>
      <c r="G41" s="824">
        <f t="shared" ref="G41:G42" si="4">IF(LEN(D41)&gt;0,1,0)</f>
        <v>1</v>
      </c>
      <c r="H41" s="818">
        <f>VLOOKUP('Interactive Data Grading'!D41,VOSEA!$E$6:$G$18,3,FALSE)</f>
        <v>9</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9</v>
      </c>
      <c r="E43" s="753"/>
      <c r="F43" s="327"/>
      <c r="G43" s="824">
        <f>MIN(G39:G42)</f>
        <v>1</v>
      </c>
      <c r="H43" s="821">
        <f t="array" ref="H43">MIN(IF(ISNUMBER(H39:H42),H39:H42))</f>
        <v>9</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260</v>
      </c>
      <c r="E62" s="753"/>
      <c r="F62" s="327"/>
      <c r="I62" s="817"/>
      <c r="J62" s="810" t="s">
        <v>791</v>
      </c>
    </row>
    <row r="63" spans="1:18" ht="17.45" customHeight="1">
      <c r="A63" s="215"/>
      <c r="B63" s="555" t="s">
        <v>345</v>
      </c>
      <c r="C63" s="884" t="str">
        <f>WI!B35</f>
        <v>What percent of water imported is metered?</v>
      </c>
      <c r="D63" s="329" t="s">
        <v>291</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t="s">
        <v>269</v>
      </c>
      <c r="E65" s="753" t="str">
        <f>IFERROR(IF(OR($D$74=10,NOT(ISNUMBER($D$74))),"",IF(I65=$I$74,"Limiting","")),"")</f>
        <v>Limiting</v>
      </c>
      <c r="F65" s="327"/>
      <c r="G65" s="810">
        <f>IFERROR(IF(H63&lt;7,1,IF(LEN(D65)&gt;0,1,0)),"")</f>
        <v>1</v>
      </c>
      <c r="H65" s="818">
        <f>VLOOKUP('Interactive Data Grading'!D65,WI!$D$6:$M$16,10,FALSE)</f>
        <v>7</v>
      </c>
      <c r="I65" s="819">
        <f>IF(AND(H65&gt;=7,H68&gt;=7),MAX(H65,9),IF(AND(H65&gt;3,H65&lt;7,H68&gt;3,H68&lt;7),MAX(H65,H68),IF(H68&gt;=7,MAX(7,H65),H65)))</f>
        <v>9</v>
      </c>
    </row>
    <row r="66" spans="1:18" ht="26.45" customHeight="1">
      <c r="A66" s="215"/>
      <c r="B66" s="555" t="s">
        <v>347</v>
      </c>
      <c r="C66" s="884" t="str">
        <f>WI!B37</f>
        <v>What level of data transfer errors are checked as part of the electronic calibration process?</v>
      </c>
      <c r="D66" s="334" t="s">
        <v>803</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346</v>
      </c>
    </row>
    <row r="67" spans="1:18" ht="18" customHeight="1">
      <c r="A67" s="215"/>
      <c r="B67" s="555" t="s">
        <v>348</v>
      </c>
      <c r="C67" s="884" t="str">
        <f>WI!B38</f>
        <v>Is the most recent electronic calibration documentation available?</v>
      </c>
      <c r="D67" s="329" t="s">
        <v>260</v>
      </c>
      <c r="E67" s="753" t="str">
        <f t="shared" si="5"/>
        <v/>
      </c>
      <c r="F67" s="327"/>
      <c r="G67" s="810">
        <f>IFERROR(IF(H63&lt;7,1,IF(OR(D65=WI!D23,D65=WI!D27),1,IF(LEN(D67)&gt;0,1,0))),"")</f>
        <v>1</v>
      </c>
      <c r="H67" s="818">
        <f>VLOOKUP('Interactive Data Grading'!D67,WI!$F$6:$M$16,8,FALSE)</f>
        <v>10</v>
      </c>
      <c r="I67" s="819">
        <f>IF(D65=WI!D23,X,IF(AND(H67=5,H69=10),7,H67))</f>
        <v>10</v>
      </c>
      <c r="J67" s="810" t="s">
        <v>346</v>
      </c>
    </row>
    <row r="68" spans="1:18" ht="16.5" customHeight="1">
      <c r="A68" s="215"/>
      <c r="B68" s="555" t="s">
        <v>349</v>
      </c>
      <c r="C68" s="884" t="str">
        <f>WI!B39</f>
        <v>What is the frequency of in-situ flow accuracy testing?</v>
      </c>
      <c r="D68" s="329" t="s">
        <v>269</v>
      </c>
      <c r="E68" s="753" t="str">
        <f t="shared" si="5"/>
        <v>Limiting</v>
      </c>
      <c r="F68" s="327"/>
      <c r="G68" s="810">
        <f>IFERROR(IF(H63&lt;7,1,IF(LEN(D68)&gt;0,1,0)),"")</f>
        <v>1</v>
      </c>
      <c r="H68" s="818">
        <f>VLOOKUP('Interactive Data Grading'!D68,WI!$G$6:$M$16,7,FALSE)</f>
        <v>7</v>
      </c>
      <c r="I68" s="819">
        <f>IF(AND(H65&gt;=7,H68&gt;=7),MAX(H68,9),IF(AND(H65&gt;3,H65&lt;7,H68&gt;3,H68&lt;7),MAX(H65,H68),IF(H65&gt;=7,MAX(7,H68),H68)))</f>
        <v>9</v>
      </c>
    </row>
    <row r="69" spans="1:18" ht="20.45" customHeight="1">
      <c r="A69" s="215"/>
      <c r="B69" s="555" t="s">
        <v>350</v>
      </c>
      <c r="C69" s="884" t="str">
        <f>WI!B40</f>
        <v>Is the most recent in-situ flow accuracy testing documentation available?</v>
      </c>
      <c r="D69" s="329" t="s">
        <v>260</v>
      </c>
      <c r="E69" s="753" t="str">
        <f t="shared" si="5"/>
        <v/>
      </c>
      <c r="F69" s="327"/>
      <c r="G69" s="810">
        <f>IFERROR(IF(H63&lt;7,1,IF(D68=WI!G23,1,IF(LEN(D69)&gt;0,1,0))),"")</f>
        <v>1</v>
      </c>
      <c r="H69" s="818">
        <f>VLOOKUP('Interactive Data Grading'!D69,WI!$H$6:$M$16,6,FALSE)</f>
        <v>10</v>
      </c>
      <c r="I69" s="819">
        <f>IF(D68=WI!G23,X,IF(AND(H69=5,H67=10),7,H69))</f>
        <v>10</v>
      </c>
      <c r="J69" s="810" t="s">
        <v>348</v>
      </c>
    </row>
    <row r="70" spans="1:18" ht="27" customHeight="1">
      <c r="A70" s="215"/>
      <c r="B70" s="555" t="s">
        <v>351</v>
      </c>
      <c r="C70" s="886" t="str">
        <f>WI!B41</f>
        <v>What are the total volume-weighted average results of in-situ flow accuracy testing (during or closest to audit year)?</v>
      </c>
      <c r="D70" s="329" t="s">
        <v>804</v>
      </c>
      <c r="E70" s="753" t="str">
        <f t="shared" si="5"/>
        <v/>
      </c>
      <c r="F70" s="327"/>
      <c r="G70" s="810">
        <f>IFERROR(IF(H63&lt;7,1,IF(OR(D68=WI!G23,D69=WI!H23),1,IF(LEN(D70)&gt;0,1,0))),"")</f>
        <v>1</v>
      </c>
      <c r="H70" s="818">
        <f>VLOOKUP('Interactive Data Grading'!D70,WI!$I$6:$M$16,5,FALSE)</f>
        <v>10</v>
      </c>
      <c r="I70" s="819">
        <f>IF(OR(D68=WI!G23,D69=WI!H23),X,H70)</f>
        <v>10</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t="s">
        <v>260</v>
      </c>
      <c r="E71" s="753" t="str">
        <f t="shared" si="5"/>
        <v/>
      </c>
      <c r="F71" s="327"/>
      <c r="G71" s="810">
        <f>IFERROR(IF(H63&lt;7,1,IF(AND(OR(D65=WI!D23,D65=WI!D27),D68=WI!G23),1,IF(LEN(D71)&gt;0,1,0))),"")</f>
        <v>1</v>
      </c>
      <c r="H71" s="818">
        <f>VLOOKUP('Interactive Data Grading'!D71,WI!$J$6:$M$16,4,FALSE)</f>
        <v>10</v>
      </c>
      <c r="I71" s="819">
        <f>IF(OR(D68=WI!G23,D69=WI!H23),X,H71)</f>
        <v>10</v>
      </c>
      <c r="J71" s="820" t="s">
        <v>812</v>
      </c>
    </row>
    <row r="72" spans="1:18" ht="25.5" customHeight="1">
      <c r="A72" s="215"/>
      <c r="B72" s="555" t="s">
        <v>353</v>
      </c>
      <c r="C72" s="884" t="str">
        <f>WI!B43</f>
        <v>Which best describes the frequency of meter readings (data collection frequency as opposed to billing frequency)?</v>
      </c>
      <c r="D72" s="329" t="s">
        <v>721</v>
      </c>
      <c r="E72" s="753" t="str">
        <f t="shared" si="5"/>
        <v>Limiting</v>
      </c>
      <c r="F72" s="327"/>
      <c r="G72" s="810">
        <f>IFERROR(IF(H63&lt;7,1,IF(LEN(D72)&gt;0,1,0)),"")</f>
        <v>1</v>
      </c>
      <c r="H72" s="818">
        <f>VLOOKUP('Interactive Data Grading'!D72,WI!$K$6:$M$16,3,FALSE)</f>
        <v>9</v>
      </c>
      <c r="I72" s="818">
        <f>H72</f>
        <v>9</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721</v>
      </c>
      <c r="E73" s="753" t="str">
        <f t="shared" si="5"/>
        <v/>
      </c>
      <c r="F73" s="327"/>
      <c r="G73" s="810">
        <f>IFERROR(IF(H63&lt;7,1,IF(LEN(D73)&gt;0,1,0)),"")</f>
        <v>1</v>
      </c>
      <c r="H73" s="818">
        <f>VLOOKUP('Interactive Data Grading'!D73,WI!$L$6:$M$16,2,FALSE)</f>
        <v>10</v>
      </c>
      <c r="I73" s="818">
        <f>H73</f>
        <v>10</v>
      </c>
    </row>
    <row r="74" spans="1:18" ht="27.6" customHeight="1">
      <c r="A74" s="215"/>
      <c r="B74" s="215"/>
      <c r="C74" s="328" t="s">
        <v>313</v>
      </c>
      <c r="D74" s="756">
        <f>IF(D62="","",IF(D62="No","n/a",IF(G74=0,"",IF(R8=0,H63,I74))))</f>
        <v>9</v>
      </c>
      <c r="E74" s="753"/>
      <c r="F74" s="327"/>
      <c r="G74" s="810">
        <f>MIN(G63:G73)</f>
        <v>1</v>
      </c>
      <c r="H74" s="821">
        <f>MIN(H63:H73)</f>
        <v>7</v>
      </c>
      <c r="I74" s="821">
        <f t="array" ref="I74">MIN(IF(ISNUMBER(I63:I73),I63:I73))</f>
        <v>9</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t="s">
        <v>372</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361</v>
      </c>
      <c r="C93" s="884" t="str">
        <f>WIEA!B35</f>
        <v>Are meter accuracy testing or electronic calibration requirements stipulated in the water purchase agreement?</v>
      </c>
      <c r="D93" s="329" t="s">
        <v>371</v>
      </c>
      <c r="E93" s="753" t="str">
        <f t="shared" ref="E93:E95" si="7">IFERROR(IF(OR($D$96="",$H93=10,NOT(ISNUMBER($H93))),"",IF(H93=$H$96,"Limiting","")),"")</f>
        <v>Limiting</v>
      </c>
      <c r="F93" s="327"/>
      <c r="G93" s="824">
        <f>IF(OR(LEN(D93)&gt;0,D92=WIEA!$C$23),1,0)</f>
        <v>1</v>
      </c>
      <c r="H93" s="818">
        <f>VLOOKUP('Interactive Data Grading'!D93,WIEA!$D$6:$G$16,4,FALSE)</f>
        <v>9</v>
      </c>
      <c r="I93" s="817"/>
      <c r="J93" s="810" t="s">
        <v>360</v>
      </c>
    </row>
    <row r="94" spans="1:18" ht="27.6" customHeight="1">
      <c r="A94" s="215"/>
      <c r="B94" s="555" t="s">
        <v>362</v>
      </c>
      <c r="C94" s="884" t="str">
        <f>WIEA!B36</f>
        <v>Are flow accuracy test and/or electronic calibration results used to inform the error adjustment input in the water audit?</v>
      </c>
      <c r="D94" s="329" t="s">
        <v>336</v>
      </c>
      <c r="E94" s="753" t="str">
        <f t="shared" si="7"/>
        <v/>
      </c>
      <c r="F94" s="327"/>
      <c r="G94" s="824">
        <f t="shared" ref="G94:G95" si="8">IF(LEN(D94)&gt;0,1,0)</f>
        <v>1</v>
      </c>
      <c r="H94" s="818">
        <f>VLOOKUP('Interactive Data Grading'!D94,WIEA!$E$6:$G$16,3,FALSE)</f>
        <v>10</v>
      </c>
      <c r="I94" s="817"/>
    </row>
    <row r="95" spans="1:18" ht="27.6" customHeight="1">
      <c r="A95" s="215"/>
      <c r="B95" s="555" t="s">
        <v>363</v>
      </c>
      <c r="C95" s="884" t="str">
        <f>WIEA!B37</f>
        <v>Who has access to the import meter readings including current and archived data?</v>
      </c>
      <c r="D95" s="329" t="s">
        <v>374</v>
      </c>
      <c r="E95" s="753" t="str">
        <f t="shared" si="7"/>
        <v/>
      </c>
      <c r="F95" s="327"/>
      <c r="G95" s="824">
        <f t="shared" si="8"/>
        <v>1</v>
      </c>
      <c r="H95" s="818">
        <f>VLOOKUP('Interactive Data Grading'!D95,WIEA!$F$6:$G$16,2,FALSE)</f>
        <v>10</v>
      </c>
      <c r="I95" s="817"/>
    </row>
    <row r="96" spans="1:18" ht="27.6" customHeight="1">
      <c r="A96" s="215"/>
      <c r="B96" s="215"/>
      <c r="C96" s="328" t="s">
        <v>313</v>
      </c>
      <c r="D96" s="895">
        <f>IF(D62="No","n/a",IF(G96=0,"",H96))</f>
        <v>9</v>
      </c>
      <c r="E96" s="753"/>
      <c r="F96" s="327"/>
      <c r="G96" s="824">
        <f>MIN(G92:G95)</f>
        <v>1</v>
      </c>
      <c r="H96" s="821">
        <f t="array" ref="H96">MIN(IF(ISNUMBER(H92:H95),H92:H95))</f>
        <v>9</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45"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150000000000006"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149999999999999"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899999999999999"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15"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
      </c>
      <c r="F171" s="327"/>
      <c r="G171" s="811">
        <f t="shared" ref="G171:G175" si="14">IF($D$169="No",1,IF(LEN(D171)&gt;0,1,0))</f>
        <v>1</v>
      </c>
      <c r="H171" s="825">
        <f>VLOOKUP('Interactive Data Grading'!D171,BMAC!$D$6:$J$15,7,FALSE)</f>
        <v>9</v>
      </c>
      <c r="I171" s="825">
        <f t="shared" ref="I171:I175" si="15">H171</f>
        <v>9</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893</v>
      </c>
      <c r="E175" s="753" t="str">
        <f t="shared" si="13"/>
        <v>Limiting</v>
      </c>
      <c r="F175" s="327"/>
      <c r="G175" s="811">
        <f t="shared" si="14"/>
        <v>1</v>
      </c>
      <c r="H175" s="825">
        <f>VLOOKUP('Interactive Data Grading'!D175,BMAC!$H$6:$J$15,3,FALSE)</f>
        <v>8</v>
      </c>
      <c r="I175" s="825">
        <f t="shared" si="15"/>
        <v>8</v>
      </c>
    </row>
    <row r="176" spans="1:18" ht="22.9" customHeight="1">
      <c r="A176" s="215"/>
      <c r="B176" s="555" t="s">
        <v>408</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407</v>
      </c>
    </row>
    <row r="177" spans="1:18" ht="27.6" customHeight="1">
      <c r="A177" s="215"/>
      <c r="B177" s="215"/>
      <c r="C177" s="328" t="s">
        <v>313</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838</v>
      </c>
      <c r="E244" s="753" t="str">
        <f>IF(OR($D$247=10,$D$247=3),"",IFERROR(IF(H244=MIN($H$244:$H$246),"Limiting",""),""))</f>
        <v>Limiting</v>
      </c>
      <c r="F244" s="327"/>
      <c r="H244" s="818">
        <f>VLOOKUP('Interactive Data Grading'!D244,UUAC!$C$6:$F$15,4,FALSE)</f>
        <v>8</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8</v>
      </c>
      <c r="E247" s="753"/>
      <c r="F247" s="327"/>
      <c r="H247" s="821">
        <f>MIN(H244:H246)</f>
        <v>8</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This Data Grading Criteria is hidden when the 'default' input is used on the Worksheet</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78"/>
      <c r="O270" s="1078"/>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78"/>
      <c r="O292" s="1078"/>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Limiting</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5"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This Data Grading Criteria is hidden when the 'default' input is used on the Worksheet</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610</v>
      </c>
      <c r="E421" s="753" t="str">
        <f t="shared" si="25"/>
        <v/>
      </c>
      <c r="F421" s="327"/>
      <c r="G421" s="824">
        <f t="shared" si="26"/>
        <v>1</v>
      </c>
      <c r="H421" s="818">
        <f>VLOOKUP('Interactive Data Grading'!D421,AOP!$G$6:$H$17,2,FALSE)</f>
        <v>9</v>
      </c>
      <c r="I421" s="818">
        <f>H421</f>
        <v>9</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PAW-Brownsville District 250</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IV (71-90)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84</v>
      </c>
      <c r="BS6" s="710"/>
      <c r="BT6" s="709"/>
      <c r="BU6" s="711"/>
      <c r="BV6" s="711"/>
      <c r="BW6" s="711"/>
      <c r="BX6" s="58"/>
      <c r="BY6" s="58"/>
    </row>
    <row r="7" spans="1:77" s="244" customFormat="1" ht="12.95" customHeight="1">
      <c r="A7" s="243"/>
      <c r="B7" s="335"/>
      <c r="C7" s="58"/>
      <c r="D7" s="247"/>
      <c r="E7" s="852"/>
      <c r="F7" s="247"/>
      <c r="G7" s="247"/>
      <c r="H7" s="678"/>
      <c r="I7" s="792" t="s">
        <v>237</v>
      </c>
      <c r="J7" s="1090">
        <f>BR6</f>
        <v>84</v>
      </c>
      <c r="K7" s="1090"/>
      <c r="L7" s="793"/>
      <c r="M7" s="793"/>
      <c r="N7" s="793"/>
      <c r="O7" s="793"/>
      <c r="P7" s="793"/>
      <c r="Q7" s="792" t="s">
        <v>681</v>
      </c>
      <c r="R7" s="1089" t="str">
        <f>IF(BO2&gt;0,"",BR4)</f>
        <v>Tier IV (71-90)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84</v>
      </c>
      <c r="BT8" s="483"/>
      <c r="BU8" s="241"/>
      <c r="BV8" s="241"/>
      <c r="BW8" s="241"/>
    </row>
    <row r="9" spans="1:77" ht="12.95"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114.73333333333333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result is above 90th %ile</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result is above 90th %ile</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74.750298313366827</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57.801400497346833</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74.750298313366827</v>
      </c>
      <c r="AB18" s="1100"/>
      <c r="AC18" s="1100"/>
      <c r="AD18" s="871" t="str">
        <f>BD13</f>
        <v>$/conn/year</v>
      </c>
      <c r="AE18" s="872"/>
      <c r="AF18" s="873"/>
      <c r="AG18" s="873"/>
      <c r="AH18" s="874"/>
      <c r="AI18" s="874"/>
      <c r="AJ18" s="872"/>
      <c r="AK18" s="1100">
        <f>BS22</f>
        <v>23.899669781370093</v>
      </c>
      <c r="AL18" s="1100"/>
      <c r="AM18" s="1100"/>
      <c r="AN18" s="871" t="str">
        <f>BD13</f>
        <v>$/conn/year</v>
      </c>
      <c r="AO18" s="872"/>
      <c r="AP18" s="872"/>
      <c r="AQ18" s="872"/>
      <c r="AR18" s="872"/>
      <c r="AS18" s="872"/>
      <c r="AT18" s="872"/>
      <c r="AU18" s="1100">
        <f>BS29</f>
        <v>50.850628531996733</v>
      </c>
      <c r="AV18" s="1100"/>
      <c r="AW18" s="1100"/>
      <c r="AX18" s="871" t="str">
        <f>BD13</f>
        <v>$/conn/year</v>
      </c>
      <c r="AY18" s="701"/>
      <c r="AZ18" s="247"/>
      <c r="BA18" s="247"/>
      <c r="BB18" s="342"/>
      <c r="BC18" s="109"/>
      <c r="BD18" s="58" t="s">
        <v>706</v>
      </c>
      <c r="BE18" s="234">
        <f>(((5.41*Worksheet!H61)+(0.15*Worksheet!H62)+(7.5*(Worksheet!H62*Worksheet!W67/5280)))*Worksheet!H68)/1000000*365</f>
        <v>45.286467354500004</v>
      </c>
      <c r="BN18" s="659"/>
      <c r="BO18" s="716" t="s">
        <v>1039</v>
      </c>
      <c r="BP18" s="718">
        <f>BQ18-BQ17</f>
        <v>8.9525318444022357</v>
      </c>
      <c r="BQ18" s="900">
        <f t="shared" si="0"/>
        <v>18.283980813778896</v>
      </c>
      <c r="BR18" s="716" t="s">
        <v>779</v>
      </c>
      <c r="BS18" s="720">
        <f>SUM(BP16:BP20)-SUM(BS16,BS17)</f>
        <v>56.876578089389284</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138.97888291545556</v>
      </c>
      <c r="BF19" s="233">
        <f>BE19*325851.427242/Worksheet!H62/365</f>
        <v>30.817812543467461</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246.51679374000005</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23.899669781370093</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23.899669781370093</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24.178751872273015</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55.509186200553067</v>
      </c>
      <c r="AB29" s="1104"/>
      <c r="AC29" s="1104"/>
      <c r="AD29" s="870" t="str">
        <f>BD10</f>
        <v>gal/conn/day</v>
      </c>
      <c r="AE29" s="870"/>
      <c r="AF29" s="875"/>
      <c r="AG29" s="875"/>
      <c r="AH29" s="700"/>
      <c r="AI29" s="700"/>
      <c r="AJ29" s="700"/>
      <c r="AK29" s="1104">
        <f>BS43</f>
        <v>4.1026733417577486</v>
      </c>
      <c r="AL29" s="1104"/>
      <c r="AM29" s="1104"/>
      <c r="AN29" s="871" t="str">
        <f>BD10</f>
        <v>gal/conn/day</v>
      </c>
      <c r="AO29" s="700"/>
      <c r="AP29" s="700"/>
      <c r="AQ29" s="700"/>
      <c r="AR29" s="700"/>
      <c r="AS29" s="700"/>
      <c r="AT29" s="700"/>
      <c r="AU29" s="1110">
        <f>BS55</f>
        <v>51.406512858795317</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50.850628531996733</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35.54734395994759</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93.4</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34.978586456588431</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55.509186200553067</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55.509186200553067</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192.79040199060955</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1.6680779268901127</v>
      </c>
      <c r="AI41" s="1109"/>
      <c r="AJ41" s="1109"/>
      <c r="AK41" s="870" t="s">
        <v>1048</v>
      </c>
      <c r="AL41" s="799"/>
      <c r="AM41" s="800"/>
      <c r="AN41" s="796"/>
      <c r="AO41" s="796"/>
      <c r="AP41" s="796"/>
      <c r="AQ41" s="796"/>
      <c r="AR41" s="796"/>
      <c r="AS41" s="1108">
        <f>BS69</f>
        <v>1828.2917029108653</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45.286467354500004</v>
      </c>
      <c r="AL43" s="1106"/>
      <c r="AM43" s="1106"/>
      <c r="AN43" s="1106"/>
      <c r="AO43" s="916" t="str">
        <f>BD7</f>
        <v>MG/Yr</v>
      </c>
      <c r="AP43" s="700"/>
      <c r="AQ43" s="700"/>
      <c r="AR43" s="700"/>
      <c r="AS43" s="1106">
        <f>IF(BG19=1,BF19,IFERROR(AK43*1000000/Worksheet!H62/365,""))</f>
        <v>30.817812543467461</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4.1026733417577486</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4.1026733417577486</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28.278189253495423</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6.0288374489795942</v>
      </c>
      <c r="J49" s="1115"/>
      <c r="K49" s="1115"/>
      <c r="L49" s="1115"/>
      <c r="M49" s="683"/>
      <c r="N49" s="1116">
        <f>IF(OR(ISBLANK('Start Page'!$AB$22),ISBLANK(Worksheet!J76)),"",(SUM(Worksheet!H43+Worksheet!H39+Worksheet!X50)*Worksheet!H76)*INDEX(Sheet1!B2:D4,MATCH('Start Page'!AB22,Sheet1!A2:A4,0),MATCH(Worksheet!J76,Sheet1!B1:D1,0))+Worksheet!Y50*Worksheet!H77)</f>
        <v>96220.070539795997</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75.541356580871138</v>
      </c>
      <c r="J50" s="1115"/>
      <c r="K50" s="1115"/>
      <c r="L50" s="1115"/>
      <c r="M50" s="683"/>
      <c r="N50" s="1116">
        <f>IFERROR(IF(Worksheet!H41="Select under/over","",IF(ISBLANK('Start Page'!AB22),"",Worksheet!H51*(IF(BD29=FALSE,Worksheet!H77,IF(BD29=TRUE,Worksheet!H76*INDEX(Sheet1!B2:D4,MATCH('Start Page'!AB22,Sheet1!A2:A4,0),MATCH(Worksheet!J76,Sheet1!B1:D1,0)),""))))),"")</f>
        <v>204724.63046981886</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9.6039999999999992</v>
      </c>
      <c r="J51" s="1115"/>
      <c r="K51" s="1115"/>
      <c r="L51" s="1115"/>
      <c r="M51" s="683"/>
      <c r="N51" s="1116">
        <f>IFERROR(IF(SUM(Sheet1!D90:D91)=0,"",SUM(Sheet1!D90:D91)),"")</f>
        <v>26027.8004</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91.174194029850739</v>
      </c>
      <c r="J52" s="1115"/>
      <c r="K52" s="1115"/>
      <c r="L52" s="1115"/>
      <c r="M52" s="683"/>
      <c r="N52" s="1116">
        <f>IF(SUM(N49:N51)=0,"",SUM(N49:N51))</f>
        <v>326972.50140961487</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51.406512858795317</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51.406512858795317</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177.6125194904177</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1.6680779268901127</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1.6680779268901127</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9.5980998002791296</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1828.2917029108653</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1828.2917029108653</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10222.777206789639</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41.065808526427517</v>
      </c>
      <c r="BQ83" s="733">
        <f>BP83+BQ78</f>
        <v>93.4</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PAW-Brownsville District 250</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24"/>
      <c r="H7" s="1124"/>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18" t="s">
        <v>1137</v>
      </c>
      <c r="G10" s="1121"/>
      <c r="H10" s="1121"/>
    </row>
    <row r="11" spans="2:21" ht="28.9"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 customHeight="1">
      <c r="B12" s="538"/>
      <c r="C12" s="518"/>
      <c r="D12" s="538"/>
      <c r="F12" s="1120"/>
      <c r="G12" s="1123"/>
      <c r="H12" s="1123"/>
      <c r="J12" s="838"/>
      <c r="K12" s="838"/>
      <c r="L12" s="838"/>
      <c r="M12" s="838"/>
      <c r="N12" s="838"/>
      <c r="O12" s="838"/>
      <c r="P12" s="838"/>
      <c r="Q12" s="838"/>
      <c r="R12" s="838"/>
      <c r="S12" s="838"/>
      <c r="T12" s="838"/>
      <c r="U12" s="838"/>
    </row>
    <row r="13" spans="2:21" ht="28.9" customHeight="1">
      <c r="B13" s="538"/>
      <c r="C13" s="518"/>
      <c r="D13" s="538"/>
      <c r="F13" s="1118" t="s">
        <v>1138</v>
      </c>
      <c r="G13" s="1121"/>
      <c r="H13" s="1121"/>
      <c r="J13" s="838"/>
      <c r="K13" s="838"/>
      <c r="L13" s="838"/>
      <c r="M13" s="838"/>
      <c r="N13" s="838"/>
      <c r="O13" s="838"/>
      <c r="P13" s="838"/>
      <c r="Q13" s="838"/>
      <c r="R13" s="838"/>
      <c r="S13" s="838"/>
      <c r="T13" s="838"/>
      <c r="U13" s="838"/>
    </row>
    <row r="14" spans="2:21" ht="28.9" customHeight="1">
      <c r="B14" s="845" t="s">
        <v>1154</v>
      </c>
      <c r="C14" s="518"/>
      <c r="D14" s="845" t="s">
        <v>1155</v>
      </c>
      <c r="F14" s="1119"/>
      <c r="G14" s="1122"/>
      <c r="H14" s="1122"/>
    </row>
    <row r="15" spans="2:21" ht="28.9" customHeight="1">
      <c r="B15" s="846"/>
      <c r="C15" s="518"/>
      <c r="D15" s="846"/>
      <c r="F15" s="1120"/>
      <c r="G15" s="1123"/>
      <c r="H15" s="1123"/>
    </row>
    <row r="16" spans="2:21" ht="28.9" customHeight="1">
      <c r="B16" s="538"/>
      <c r="C16" s="518"/>
      <c r="D16" s="538"/>
      <c r="F16" s="1118" t="s">
        <v>1139</v>
      </c>
      <c r="G16" s="1126"/>
      <c r="H16" s="1126"/>
    </row>
    <row r="17" spans="2:8" ht="28.9" customHeight="1">
      <c r="B17" s="845" t="s">
        <v>1154</v>
      </c>
      <c r="C17" s="518"/>
      <c r="D17" s="845" t="s">
        <v>1155</v>
      </c>
      <c r="F17" s="1119"/>
      <c r="G17" s="1127"/>
      <c r="H17" s="1127"/>
    </row>
    <row r="18" spans="2:8" ht="28.9" customHeight="1">
      <c r="B18" s="538"/>
      <c r="C18" s="518"/>
      <c r="D18" s="538"/>
      <c r="F18" s="1120"/>
      <c r="G18" s="1128"/>
      <c r="H18" s="1128"/>
    </row>
    <row r="19" spans="2:8" ht="28.9" customHeight="1">
      <c r="B19" s="538"/>
      <c r="C19" s="518"/>
      <c r="D19" s="538"/>
      <c r="F19" s="1118" t="s">
        <v>1140</v>
      </c>
      <c r="G19" s="1126"/>
      <c r="H19" s="1126"/>
    </row>
    <row r="20" spans="2:8" ht="28.9" customHeight="1">
      <c r="B20" s="845" t="s">
        <v>1154</v>
      </c>
      <c r="C20" s="518"/>
      <c r="D20" s="845" t="s">
        <v>1155</v>
      </c>
      <c r="F20" s="1119"/>
      <c r="G20" s="1127"/>
      <c r="H20" s="1127"/>
    </row>
    <row r="21" spans="2:8" ht="28.9" customHeight="1">
      <c r="B21" s="538"/>
      <c r="C21" s="518"/>
      <c r="D21" s="538"/>
      <c r="F21" s="1120"/>
      <c r="G21" s="1128"/>
      <c r="H21" s="1128"/>
    </row>
    <row r="22" spans="2:8" ht="28.9" customHeight="1">
      <c r="B22" s="538"/>
      <c r="C22" s="518"/>
      <c r="D22" s="538"/>
      <c r="F22" s="1118" t="s">
        <v>1131</v>
      </c>
      <c r="G22" s="1126"/>
      <c r="H22" s="1126"/>
    </row>
    <row r="23" spans="2:8" ht="28.9" customHeight="1">
      <c r="B23" s="845" t="s">
        <v>1154</v>
      </c>
      <c r="C23" s="518"/>
      <c r="D23" s="845" t="s">
        <v>1155</v>
      </c>
      <c r="F23" s="1119"/>
      <c r="G23" s="1127"/>
      <c r="H23" s="1127"/>
    </row>
    <row r="24" spans="2:8" ht="28.9" customHeight="1">
      <c r="B24" s="538"/>
      <c r="C24" s="518"/>
      <c r="D24" s="538"/>
      <c r="F24" s="1120"/>
      <c r="G24" s="1128"/>
      <c r="H24" s="1128"/>
    </row>
    <row r="25" spans="2:8" ht="28.9" customHeight="1">
      <c r="B25" s="538"/>
      <c r="C25" s="518"/>
      <c r="D25" s="538"/>
      <c r="F25" s="1118" t="s">
        <v>1141</v>
      </c>
      <c r="G25" s="1129"/>
      <c r="H25" s="1129"/>
    </row>
    <row r="26" spans="2:8" ht="28.9" customHeight="1">
      <c r="B26" s="845" t="s">
        <v>1154</v>
      </c>
      <c r="C26" s="518"/>
      <c r="D26" s="845" t="s">
        <v>1155</v>
      </c>
      <c r="F26" s="1119"/>
      <c r="G26" s="1130"/>
      <c r="H26" s="1130"/>
    </row>
    <row r="27" spans="2:8" ht="28.9" customHeight="1">
      <c r="B27" s="538"/>
      <c r="C27" s="518"/>
      <c r="D27" s="538"/>
      <c r="F27" s="1120"/>
      <c r="G27" s="1131"/>
      <c r="H27" s="1131"/>
    </row>
    <row r="28" spans="2:8" ht="28.9" customHeight="1">
      <c r="B28" s="538"/>
      <c r="C28" s="518"/>
      <c r="D28" s="538"/>
      <c r="F28" s="1118" t="s">
        <v>1142</v>
      </c>
      <c r="G28" s="1126"/>
      <c r="H28" s="1126"/>
    </row>
    <row r="29" spans="2:8" ht="28.9" customHeight="1">
      <c r="B29" s="845" t="s">
        <v>1154</v>
      </c>
      <c r="C29" s="518"/>
      <c r="D29" s="845" t="s">
        <v>1155</v>
      </c>
      <c r="F29" s="1119"/>
      <c r="G29" s="1127"/>
      <c r="H29" s="1127"/>
    </row>
    <row r="30" spans="2:8" ht="28.9" customHeight="1">
      <c r="B30" s="538"/>
      <c r="C30" s="518"/>
      <c r="D30" s="538"/>
      <c r="F30" s="1120"/>
      <c r="G30" s="1128"/>
      <c r="H30" s="1128"/>
    </row>
    <row r="31" spans="2:8" ht="28.9" customHeight="1">
      <c r="B31" s="538"/>
      <c r="C31" s="518"/>
      <c r="D31" s="538"/>
      <c r="F31" s="1118" t="s">
        <v>1143</v>
      </c>
      <c r="G31" s="1126"/>
      <c r="H31" s="1126"/>
    </row>
    <row r="32" spans="2:8" ht="28.9" customHeight="1">
      <c r="B32" s="845" t="s">
        <v>1154</v>
      </c>
      <c r="C32" s="518"/>
      <c r="D32" s="845" t="s">
        <v>1155</v>
      </c>
      <c r="F32" s="1119"/>
      <c r="G32" s="1127"/>
      <c r="H32" s="1127"/>
    </row>
    <row r="33" spans="2:8" ht="28.9" customHeight="1">
      <c r="B33" s="538"/>
      <c r="C33" s="518"/>
      <c r="D33" s="538"/>
      <c r="F33" s="1120"/>
      <c r="G33" s="1128"/>
      <c r="H33" s="1128"/>
    </row>
    <row r="34" spans="2:8" ht="28.9" customHeight="1">
      <c r="B34" s="538"/>
      <c r="C34" s="518"/>
      <c r="D34" s="538"/>
      <c r="F34" s="1118" t="s">
        <v>1144</v>
      </c>
      <c r="G34" s="1129"/>
      <c r="H34" s="1129"/>
    </row>
    <row r="35" spans="2:8" ht="28.9" customHeight="1">
      <c r="B35" s="845" t="s">
        <v>1154</v>
      </c>
      <c r="C35" s="518"/>
      <c r="D35" s="845" t="s">
        <v>1155</v>
      </c>
      <c r="F35" s="1119"/>
      <c r="G35" s="1130"/>
      <c r="H35" s="1130"/>
    </row>
    <row r="36" spans="2:8" ht="28.9" customHeight="1">
      <c r="B36" s="538"/>
      <c r="C36" s="518"/>
      <c r="D36" s="538"/>
      <c r="F36" s="1120"/>
      <c r="G36" s="1131"/>
      <c r="H36" s="1131"/>
    </row>
    <row r="37" spans="2:8" ht="28.9" customHeight="1">
      <c r="B37" s="538"/>
      <c r="C37" s="518"/>
      <c r="D37" s="538"/>
      <c r="F37" s="1118" t="s">
        <v>1145</v>
      </c>
      <c r="G37" s="1129"/>
      <c r="H37" s="1129"/>
    </row>
    <row r="38" spans="2:8" ht="28.9" customHeight="1">
      <c r="B38" s="845" t="s">
        <v>1154</v>
      </c>
      <c r="C38" s="518"/>
      <c r="D38" s="845" t="s">
        <v>1155</v>
      </c>
      <c r="F38" s="1119"/>
      <c r="G38" s="1130"/>
      <c r="H38" s="1130"/>
    </row>
    <row r="39" spans="2:8" ht="28.9" customHeight="1">
      <c r="B39" s="538"/>
      <c r="C39" s="518"/>
      <c r="D39" s="538"/>
      <c r="F39" s="1120"/>
      <c r="G39" s="1131"/>
      <c r="H39" s="1131"/>
    </row>
    <row r="40" spans="2:8" ht="28.9" customHeight="1">
      <c r="B40" s="538"/>
      <c r="C40" s="518"/>
      <c r="D40" s="538"/>
      <c r="F40" s="1118" t="s">
        <v>1146</v>
      </c>
      <c r="G40" s="1129"/>
      <c r="H40" s="1129"/>
    </row>
    <row r="41" spans="2:8" ht="28.9" customHeight="1">
      <c r="B41" s="845" t="s">
        <v>1154</v>
      </c>
      <c r="C41" s="518"/>
      <c r="D41" s="845" t="s">
        <v>1155</v>
      </c>
      <c r="F41" s="1119"/>
      <c r="G41" s="1130"/>
      <c r="H41" s="1130"/>
    </row>
    <row r="42" spans="2:8" ht="28.9" customHeight="1">
      <c r="B42" s="538"/>
      <c r="C42" s="518"/>
      <c r="D42" s="538"/>
      <c r="F42" s="1120"/>
      <c r="G42" s="1131"/>
      <c r="H42" s="1131"/>
    </row>
    <row r="43" spans="2:8" ht="28.9" customHeight="1">
      <c r="B43" s="538"/>
      <c r="C43" s="518"/>
      <c r="D43" s="538"/>
      <c r="F43" s="1118" t="s">
        <v>1147</v>
      </c>
      <c r="G43" s="1129"/>
      <c r="H43" s="1129"/>
    </row>
    <row r="44" spans="2:8" ht="28.9" customHeight="1">
      <c r="B44" s="845" t="s">
        <v>1154</v>
      </c>
      <c r="C44" s="518"/>
      <c r="D44" s="845" t="s">
        <v>1155</v>
      </c>
      <c r="F44" s="1119"/>
      <c r="G44" s="1130"/>
      <c r="H44" s="1130"/>
    </row>
    <row r="45" spans="2:8" ht="28.9" customHeight="1">
      <c r="B45" s="538"/>
      <c r="C45" s="518"/>
      <c r="D45" s="538"/>
      <c r="F45" s="1120"/>
      <c r="G45" s="1131"/>
      <c r="H45" s="1131"/>
    </row>
    <row r="46" spans="2:8" ht="28.9" customHeight="1">
      <c r="B46" s="538"/>
      <c r="C46" s="518"/>
      <c r="D46" s="538"/>
      <c r="F46" s="1118" t="s">
        <v>1148</v>
      </c>
      <c r="G46" s="1129"/>
      <c r="H46" s="1129"/>
    </row>
    <row r="47" spans="2:8" ht="28.9" customHeight="1">
      <c r="B47" s="845" t="s">
        <v>1154</v>
      </c>
      <c r="C47" s="518"/>
      <c r="D47" s="845" t="s">
        <v>1155</v>
      </c>
      <c r="F47" s="1119"/>
      <c r="G47" s="1130"/>
      <c r="H47" s="1130"/>
    </row>
    <row r="48" spans="2:8" ht="28.9" customHeight="1">
      <c r="B48" s="538"/>
      <c r="C48" s="518"/>
      <c r="D48" s="538"/>
      <c r="F48" s="1120"/>
      <c r="G48" s="1131"/>
      <c r="H48" s="1131"/>
    </row>
    <row r="49" spans="2:8" ht="28.9" customHeight="1">
      <c r="B49" s="538"/>
      <c r="C49" s="518"/>
      <c r="D49" s="538"/>
      <c r="F49" s="1118" t="s">
        <v>1125</v>
      </c>
      <c r="G49" s="1129"/>
      <c r="H49" s="1129"/>
    </row>
    <row r="50" spans="2:8" ht="28.9" customHeight="1">
      <c r="B50" s="845" t="s">
        <v>1154</v>
      </c>
      <c r="C50" s="518"/>
      <c r="D50" s="845" t="s">
        <v>1155</v>
      </c>
      <c r="F50" s="1119"/>
      <c r="G50" s="1130"/>
      <c r="H50" s="1130"/>
    </row>
    <row r="51" spans="2:8" ht="28.9" customHeight="1">
      <c r="B51" s="538"/>
      <c r="C51" s="518"/>
      <c r="D51" s="538"/>
      <c r="F51" s="1120"/>
      <c r="G51" s="1131"/>
      <c r="H51" s="1131"/>
    </row>
    <row r="52" spans="2:8" ht="28.9" customHeight="1">
      <c r="B52" s="538"/>
      <c r="C52" s="518"/>
      <c r="D52" s="538"/>
      <c r="F52" s="1118" t="s">
        <v>1149</v>
      </c>
      <c r="G52" s="1129"/>
      <c r="H52" s="1129"/>
    </row>
    <row r="53" spans="2:8" ht="28.9" customHeight="1">
      <c r="B53" s="845" t="s">
        <v>1154</v>
      </c>
      <c r="C53" s="518"/>
      <c r="D53" s="845" t="s">
        <v>1155</v>
      </c>
      <c r="F53" s="1119"/>
      <c r="G53" s="1130"/>
      <c r="H53" s="1130"/>
    </row>
    <row r="54" spans="2:8" ht="28.9" customHeight="1">
      <c r="B54" s="538"/>
      <c r="C54" s="518"/>
      <c r="D54" s="538"/>
      <c r="F54" s="1120"/>
      <c r="G54" s="1131"/>
      <c r="H54" s="1131"/>
    </row>
    <row r="55" spans="2:8" ht="28.9" customHeight="1">
      <c r="B55" s="538"/>
      <c r="C55" s="518"/>
      <c r="D55" s="538"/>
      <c r="F55" s="1118" t="s">
        <v>1150</v>
      </c>
      <c r="G55" s="1129"/>
      <c r="H55" s="1129"/>
    </row>
    <row r="56" spans="2:8" ht="28.9" customHeight="1">
      <c r="B56" s="845" t="s">
        <v>1154</v>
      </c>
      <c r="C56" s="518"/>
      <c r="D56" s="845" t="s">
        <v>1155</v>
      </c>
      <c r="F56" s="1119"/>
      <c r="G56" s="1130"/>
      <c r="H56" s="1130"/>
    </row>
    <row r="57" spans="2:8" ht="28.9" customHeight="1">
      <c r="B57" s="538"/>
      <c r="C57" s="518"/>
      <c r="D57" s="538"/>
      <c r="F57" s="1120"/>
      <c r="G57" s="1131"/>
      <c r="H57" s="1131"/>
    </row>
    <row r="58" spans="2:8" ht="28.9" customHeight="1">
      <c r="B58" s="538"/>
      <c r="C58" s="518"/>
      <c r="D58" s="538"/>
      <c r="F58" s="1118" t="s">
        <v>1151</v>
      </c>
      <c r="G58" s="1129"/>
      <c r="H58" s="1129"/>
    </row>
    <row r="59" spans="2:8" ht="28.9" customHeight="1">
      <c r="B59" s="845" t="s">
        <v>1154</v>
      </c>
      <c r="C59" s="518"/>
      <c r="D59" s="845" t="s">
        <v>1155</v>
      </c>
      <c r="F59" s="1119"/>
      <c r="G59" s="1130"/>
      <c r="H59" s="1130"/>
    </row>
    <row r="60" spans="2:8" ht="28.9" customHeight="1">
      <c r="B60" s="538"/>
      <c r="C60" s="518"/>
      <c r="D60" s="538"/>
      <c r="F60" s="1120"/>
      <c r="G60" s="1131"/>
      <c r="H60" s="1131"/>
    </row>
    <row r="61" spans="2:8" ht="28.9" customHeight="1">
      <c r="B61" s="538"/>
      <c r="C61" s="518"/>
      <c r="D61" s="538"/>
      <c r="F61" s="1118" t="s">
        <v>1152</v>
      </c>
      <c r="G61" s="1129"/>
      <c r="H61" s="1129"/>
    </row>
    <row r="62" spans="2:8" ht="28.9" customHeight="1">
      <c r="B62" s="845" t="s">
        <v>1154</v>
      </c>
      <c r="C62" s="518"/>
      <c r="D62" s="845" t="s">
        <v>1155</v>
      </c>
      <c r="F62" s="1119"/>
      <c r="G62" s="1130"/>
      <c r="H62" s="1130"/>
    </row>
    <row r="63" spans="2:8" ht="28.9" customHeight="1">
      <c r="B63" s="538"/>
      <c r="C63" s="518"/>
      <c r="D63" s="538"/>
      <c r="F63" s="1120"/>
      <c r="G63" s="1131"/>
      <c r="H63" s="1131"/>
    </row>
    <row r="64" spans="2:8" ht="28.9" customHeight="1">
      <c r="B64" s="538"/>
      <c r="C64" s="518"/>
      <c r="D64" s="538"/>
      <c r="F64" s="1118" t="s">
        <v>1153</v>
      </c>
      <c r="G64" s="1129"/>
      <c r="H64" s="1129"/>
    </row>
    <row r="65" spans="2:8" ht="28.9" customHeight="1">
      <c r="B65" s="845" t="s">
        <v>1154</v>
      </c>
      <c r="C65" s="518"/>
      <c r="D65" s="845" t="s">
        <v>1155</v>
      </c>
      <c r="F65" s="1119"/>
      <c r="G65" s="1130"/>
      <c r="H65" s="1130"/>
    </row>
    <row r="66" spans="2:8" ht="28.9"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91 MG/Yr</v>
      </c>
    </row>
    <row r="79" spans="1:6" ht="16.5">
      <c r="B79" s="52"/>
      <c r="C79" s="52"/>
      <c r="D79" s="52"/>
      <c r="E79" s="9" t="str">
        <f>IFERROR("Total Cost of NRW = $"&amp;TEXT(SUM(D90,D91,D94,D95,D96,D97,D99),"#,###")&amp;"/Yr","")</f>
        <v>Total Cost of NRW = $326,973/Yr</v>
      </c>
      <c r="F79" s="52"/>
    </row>
    <row r="80" spans="1:6">
      <c r="A80"/>
      <c r="B80"/>
      <c r="C80" s="53" t="str">
        <f>"Volume ("&amp;Worksheet!J15&amp;")"</f>
        <v>Volume (MG/Yr)</v>
      </c>
      <c r="D80" s="53" t="s">
        <v>147</v>
      </c>
      <c r="E80" s="94" t="s">
        <v>1085</v>
      </c>
      <c r="F80"/>
    </row>
    <row r="81" spans="1:6">
      <c r="A81" s="46" t="s">
        <v>127</v>
      </c>
      <c r="B81" s="46"/>
      <c r="C81" s="122">
        <f>IF(Dashboard!BO$2&gt;0,"",Worksheet!H15)</f>
        <v>329.4</v>
      </c>
      <c r="D81" s="123">
        <f>IF(Dashboard!BO$2&gt;0,"",C81*(Worksheet!$H$77))</f>
        <v>892706.94</v>
      </c>
      <c r="E81" s="605">
        <f>D81</f>
        <v>892706.94</v>
      </c>
      <c r="F81" s="84" t="s">
        <v>1084</v>
      </c>
    </row>
    <row r="82" spans="1:6">
      <c r="A82" s="46" t="str">
        <f>A81&amp;" MA"</f>
        <v>Vol. from own sources: MA</v>
      </c>
      <c r="B82" s="46"/>
      <c r="C82" s="122">
        <f>IF(Dashboard!BO$2&gt;0,"",Worksheet!X15)</f>
        <v>1.647</v>
      </c>
      <c r="D82" s="123">
        <f>IF(Dashboard!BO$2&gt;0,"",C82*(Worksheet!$H$77))</f>
        <v>4463.5347000000002</v>
      </c>
      <c r="E82" s="605">
        <f t="shared" ref="E82:E100" si="0">D82</f>
        <v>4463.5347000000002</v>
      </c>
      <c r="F82"/>
    </row>
    <row r="83" spans="1:6">
      <c r="A83" t="s">
        <v>0</v>
      </c>
      <c r="B83"/>
      <c r="C83" s="122">
        <f>IF(Dashboard!BO$2&gt;0,"",Worksheet!H16)</f>
        <v>0.156</v>
      </c>
      <c r="D83" s="123">
        <f>IF(Dashboard!BO$2&gt;0,"",C83*(Worksheet!$H$77))</f>
        <v>422.7756</v>
      </c>
      <c r="E83" s="605">
        <f t="shared" si="0"/>
        <v>422.7756</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327.91719402985075</v>
      </c>
      <c r="D87" s="123">
        <f>IF(Dashboard!BO$2&gt;0,"",C87*(Worksheet!$H$77))</f>
        <v>888688.38754029851</v>
      </c>
      <c r="E87" s="605">
        <f t="shared" si="0"/>
        <v>888688.38754029851</v>
      </c>
      <c r="F87"/>
    </row>
    <row r="88" spans="1:6">
      <c r="A88" s="158" t="s">
        <v>1269</v>
      </c>
      <c r="B88"/>
      <c r="C88" s="122">
        <f>IF(Dashboard!BO$2&gt;0,"",Worksheet!H23)</f>
        <v>236.74299999999999</v>
      </c>
      <c r="D88" s="123">
        <f>IF(Dashboard!BO$2&gt;0,"",C88*(Worksheet!$H$76*1000))</f>
        <v>3785520.57</v>
      </c>
      <c r="E88" s="605">
        <f t="shared" si="0"/>
        <v>3785520.57</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0.66800000000000004</v>
      </c>
      <c r="D90" s="951">
        <f>IF(Dashboard!BO$2&gt;0,"",IF(ISBLANK('Start Page'!AB22),"",IF(AND(ISBLANK(Worksheet!H77),Worksheet!Z77&lt;&gt;1),"",Worksheet!H25*(IF(Dashboard!BD29=FALSE,Worksheet!H77,IF(Dashboard!BD29=TRUE,Worksheet!H76*INDEX(Sheet1!B2:D4,MATCH('Start Page'!AB22,Sheet1!A2:A4,0),MATCH(Worksheet!J76,Sheet1!B1:D1,0)),""))))))</f>
        <v>1810.3468</v>
      </c>
      <c r="E90" s="952">
        <f t="shared" si="0"/>
        <v>1810.3468</v>
      </c>
      <c r="F90"/>
    </row>
    <row r="91" spans="1:6">
      <c r="A91" s="953" t="str">
        <f>"Unbilled Unmetered (UUAC) valued at "&amp;A76&amp;""</f>
        <v xml:space="preserve">Unbilled Unmetered (UUAC) valued at </v>
      </c>
      <c r="B91" s="949"/>
      <c r="C91" s="950">
        <f>IF(Dashboard!BO$2&gt;0,"",Worksheet!H26)</f>
        <v>8.9359999999999999</v>
      </c>
      <c r="D91" s="951">
        <f>IF(Dashboard!BO$2&gt;0,"",IF(ISBLANK('Start Page'!AB22),"",IF(AND(ISBLANK(Worksheet!H77),Worksheet!Z77&lt;&gt;1),"",Worksheet!H26*(IF(Dashboard!BD29=FALSE,Worksheet!H77,IF(Dashboard!BD29=TRUE,Worksheet!H76*INDEX(Sheet1!B2:D4,MATCH('Start Page'!AB22,Sheet1!A2:A4,0),MATCH(Worksheet!J76,Sheet1!B1:D1,0)),""))))))</f>
        <v>24217.453600000001</v>
      </c>
      <c r="E91" s="952">
        <f t="shared" si="0"/>
        <v>24217.453600000001</v>
      </c>
      <c r="F91"/>
    </row>
    <row r="92" spans="1:6">
      <c r="A92" s="158" t="s">
        <v>2</v>
      </c>
      <c r="B92" s="125" t="s">
        <v>239</v>
      </c>
      <c r="C92" s="122">
        <f>IF(Dashboard!BO$2&gt;0,"",Worksheet!H30)</f>
        <v>246.34700000000001</v>
      </c>
      <c r="D92" s="123">
        <f>IF(Dashboard!BO$2&gt;0,"",C92*(Worksheet!$H$76*1000))</f>
        <v>3939088.5300000003</v>
      </c>
      <c r="E92" s="605">
        <f t="shared" si="0"/>
        <v>3939088.5300000003</v>
      </c>
      <c r="F92"/>
    </row>
    <row r="93" spans="1:6">
      <c r="A93" t="s">
        <v>51</v>
      </c>
      <c r="B93"/>
      <c r="C93" s="122">
        <f>IF(Dashboard!BO$2&gt;0,"",Worksheet!H35)</f>
        <v>81.57019402985074</v>
      </c>
      <c r="D93" s="123"/>
      <c r="E93" s="605">
        <f t="shared" si="0"/>
        <v>0</v>
      </c>
      <c r="F93"/>
    </row>
    <row r="94" spans="1:6">
      <c r="A94" s="223" t="s">
        <v>678</v>
      </c>
      <c r="B94" s="46"/>
      <c r="C94" s="126">
        <f>IF(Dashboard!BO$2&gt;0,"",Worksheet!H43)</f>
        <v>0.59185750000000004</v>
      </c>
      <c r="D94" s="127">
        <f>IF(Dashboard!BO$2&gt;0,"",IF(ISBLANK('Start Page'!AB22),"",IF(AND(ISBLANK(Worksheet!H77),Worksheet!Z77&lt;&gt;1),"",C94*Worksheet!H76*INDEX(Sheet1!B2:D4,MATCH('Start Page'!AB22,Sheet1!A2:A4,0),MATCH(Worksheet!J76,Sheet1!B1:D1,0)))))</f>
        <v>9463.8014250000015</v>
      </c>
      <c r="E94" s="606">
        <f t="shared" si="0"/>
        <v>9463.8014250000015</v>
      </c>
      <c r="F94" s="128"/>
    </row>
    <row r="95" spans="1:6">
      <c r="A95" s="935" t="s">
        <v>679</v>
      </c>
      <c r="B95" s="934"/>
      <c r="C95" s="936">
        <f>Worksheet!X50</f>
        <v>4.8314897959183725</v>
      </c>
      <c r="D95" s="937">
        <f>IF(Dashboard!BO$2&gt;0,"",IF(ISBLANK('Start Page'!AB22),"",IF(AND(ISBLANK(Worksheet!H77),Worksheet!Z77&lt;&gt;1),"",C95*Worksheet!H76*INDEX(Sheet1!B2:D4,MATCH('Start Page'!AB22,Sheet1!A2:A4,0),MATCH(Worksheet!J76,Sheet1!B1:D1,0)))))</f>
        <v>77255.52183673477</v>
      </c>
      <c r="E95" s="938">
        <f t="shared" si="0"/>
        <v>77255.52183673477</v>
      </c>
      <c r="F95" s="128"/>
    </row>
    <row r="96" spans="1:6">
      <c r="A96" s="935" t="s">
        <v>1271</v>
      </c>
      <c r="B96" s="934"/>
      <c r="C96" s="936">
        <f>Worksheet!Y50</f>
        <v>1.363265306122452E-2</v>
      </c>
      <c r="D96" s="937">
        <f>C96*input_VPC</f>
        <v>36.945853061224568</v>
      </c>
      <c r="E96" s="938">
        <f t="shared" si="0"/>
        <v>36.945853061224568</v>
      </c>
      <c r="F96" s="941" t="s">
        <v>1273</v>
      </c>
    </row>
    <row r="97" spans="1:7">
      <c r="A97" s="223" t="s">
        <v>680</v>
      </c>
      <c r="B97" s="46"/>
      <c r="C97" s="126">
        <f>IF(Dashboard!BO$2&gt;0,"",Worksheet!H39)</f>
        <v>0.59185750000000004</v>
      </c>
      <c r="D97" s="127">
        <f>IF(Dashboard!BO$2&gt;0,"",IF(ISBLANK('Start Page'!AB22),"",IF(AND(ISBLANK(Worksheet!H77),Worksheet!Z77&lt;&gt;1),"",C97*Worksheet!H76*INDEX(Sheet1!B2:D4,MATCH('Start Page'!AB22,Sheet1!A2:A4,0),MATCH(Worksheet!J76,Sheet1!B1:D1,0)))))</f>
        <v>9463.8014250000015</v>
      </c>
      <c r="E97" s="606">
        <f t="shared" si="0"/>
        <v>9463.8014250000015</v>
      </c>
      <c r="F97" s="128"/>
    </row>
    <row r="98" spans="1:7">
      <c r="A98" s="945" t="s">
        <v>42</v>
      </c>
      <c r="B98" s="945"/>
      <c r="C98" s="946">
        <f>IF(Dashboard!BO$2&gt;0,"",Worksheet!H46)</f>
        <v>6.0288374489795942</v>
      </c>
      <c r="D98" s="947">
        <f>IF(Dashboard!BO$2&gt;0,"",SUM(D94:D97))</f>
        <v>96220.070539795983</v>
      </c>
      <c r="E98" s="605">
        <f t="shared" si="0"/>
        <v>96220.070539795983</v>
      </c>
      <c r="F98"/>
    </row>
    <row r="99" spans="1:7">
      <c r="A99" s="54" t="str">
        <f>"Real Losses valued at "&amp;A76&amp;""</f>
        <v xml:space="preserve">Real Losses valued at </v>
      </c>
      <c r="B99" s="46"/>
      <c r="C99" s="126">
        <f>IF(Dashboard!BO$2&gt;0,"",Worksheet!H51)</f>
        <v>75.541356580871138</v>
      </c>
      <c r="D99" s="939">
        <f>IF(Dashboard!BO$2&gt;0,"",Dashboard!N50)</f>
        <v>204724.63046981886</v>
      </c>
      <c r="E99" s="606">
        <f t="shared" si="0"/>
        <v>204724.63046981886</v>
      </c>
      <c r="F99" s="605"/>
    </row>
    <row r="100" spans="1:7">
      <c r="A100" t="s">
        <v>72</v>
      </c>
      <c r="B100"/>
      <c r="C100" s="122">
        <f>IF(Dashboard!BO$2&gt;0,"",Worksheet!H57)</f>
        <v>91.174194029850753</v>
      </c>
      <c r="D100" s="124">
        <f>IF(Dashboard!BO$2&gt;0,"",D98+D99+D90+D91)</f>
        <v>326972.50140961487</v>
      </c>
      <c r="E100" s="605">
        <f t="shared" si="0"/>
        <v>326972.50140961487</v>
      </c>
      <c r="F100"/>
      <c r="G100" s="129"/>
    </row>
    <row r="101" spans="1:7">
      <c r="A101" s="942"/>
    </row>
    <row r="102" spans="1:7">
      <c r="A102" s="942" t="s">
        <v>1272</v>
      </c>
      <c r="C102" s="943">
        <f>C95+C96</f>
        <v>4.8451224489795965</v>
      </c>
      <c r="D102" s="129">
        <f>D95+D96</f>
        <v>77292.467689795987</v>
      </c>
      <c r="E102" s="129">
        <f>E95+E96</f>
        <v>77292.467689795987</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PAW-Brownsville District 250</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IV (71-90)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236.74299999999999</v>
      </c>
      <c r="H12" s="362"/>
      <c r="I12" s="5"/>
      <c r="K12" s="898"/>
    </row>
    <row r="13" spans="2:16" ht="22.5" customHeight="1">
      <c r="B13" s="1133"/>
      <c r="C13" s="363"/>
      <c r="D13" s="360"/>
      <c r="E13" s="1142"/>
      <c r="F13" s="365">
        <f>Worksheet!H23+Worksheet!H24</f>
        <v>236.74299999999999</v>
      </c>
      <c r="G13" s="366" t="s">
        <v>1090</v>
      </c>
      <c r="H13" s="367">
        <f>SUM(G12+G14)</f>
        <v>236.74299999999999</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246.34700000000001</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0.66800000000000004</v>
      </c>
      <c r="H16" s="1141"/>
      <c r="I16" s="5"/>
      <c r="K16" s="46"/>
    </row>
    <row r="17" spans="2:16" ht="22.5" customHeight="1">
      <c r="B17" s="377">
        <f>Worksheet!AG15</f>
        <v>327.76119402985074</v>
      </c>
      <c r="C17" s="378"/>
      <c r="D17" s="379"/>
      <c r="E17" s="250"/>
      <c r="F17" s="380">
        <f>Worksheet!H25+Worksheet!H26</f>
        <v>9.6039999999999992</v>
      </c>
      <c r="G17" s="364" t="s">
        <v>1092</v>
      </c>
      <c r="H17" s="362"/>
      <c r="I17" s="5"/>
      <c r="K17" s="46"/>
      <c r="L17" s="121"/>
      <c r="M17" s="121"/>
      <c r="N17" s="121"/>
      <c r="O17" s="121"/>
      <c r="P17" s="121"/>
    </row>
    <row r="18" spans="2:16" ht="15.75" customHeight="1">
      <c r="B18" s="375"/>
      <c r="C18" s="1154" t="s">
        <v>763</v>
      </c>
      <c r="D18" s="360"/>
      <c r="E18" s="381"/>
      <c r="F18" s="370"/>
      <c r="G18" s="382">
        <f>Worksheet!H26</f>
        <v>8.9359999999999999</v>
      </c>
      <c r="H18" s="362"/>
      <c r="I18" s="5"/>
      <c r="K18" s="46"/>
    </row>
    <row r="19" spans="2:16" ht="22.5" customHeight="1">
      <c r="B19" s="375"/>
      <c r="C19" s="1154"/>
      <c r="D19" s="383" t="s">
        <v>116</v>
      </c>
      <c r="E19" s="356"/>
      <c r="F19" s="384"/>
      <c r="G19" s="600" t="s">
        <v>695</v>
      </c>
      <c r="H19" s="385">
        <f>Worksheet!H25+Worksheet!H26+Worksheet!H46+Worksheet!H51</f>
        <v>91.174194029850725</v>
      </c>
      <c r="I19" s="5"/>
      <c r="K19" s="46"/>
      <c r="L19" s="121"/>
      <c r="M19" s="121"/>
      <c r="N19" s="121"/>
      <c r="O19" s="121"/>
      <c r="P19" s="121"/>
    </row>
    <row r="20" spans="2:16" ht="15.75" customHeight="1">
      <c r="B20" s="375"/>
      <c r="C20" s="386">
        <f>B17+B27</f>
        <v>327.91719402985075</v>
      </c>
      <c r="D20" s="360"/>
      <c r="E20" s="250"/>
      <c r="F20" s="387" t="s">
        <v>52</v>
      </c>
      <c r="G20" s="376">
        <f>Worksheet!H39</f>
        <v>0.59185750000000004</v>
      </c>
      <c r="H20" s="362"/>
      <c r="I20" s="5"/>
      <c r="K20" s="46"/>
    </row>
    <row r="21" spans="2:16" ht="14.25" customHeight="1">
      <c r="B21" s="388"/>
      <c r="C21" s="389"/>
      <c r="D21" s="386">
        <f>Worksheet!H19</f>
        <v>327.91719402985075</v>
      </c>
      <c r="E21" s="390"/>
      <c r="F21" s="380">
        <f>Worksheet!H46</f>
        <v>6.0288374489795942</v>
      </c>
      <c r="G21" s="364" t="s">
        <v>694</v>
      </c>
      <c r="H21" s="362"/>
      <c r="I21" s="5"/>
      <c r="K21" s="46"/>
      <c r="L21" s="121"/>
      <c r="M21" s="121"/>
      <c r="N21" s="121"/>
      <c r="O21" s="121"/>
      <c r="P21" s="121"/>
    </row>
    <row r="22" spans="2:16" ht="15.75" customHeight="1">
      <c r="B22" s="375"/>
      <c r="C22" s="359"/>
      <c r="D22" s="360"/>
      <c r="E22" s="250"/>
      <c r="F22" s="390"/>
      <c r="G22" s="391">
        <f>Worksheet!H41</f>
        <v>4.8451224489795948</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0.59185750000000004</v>
      </c>
      <c r="H24" s="362"/>
      <c r="I24" s="5"/>
      <c r="K24" s="46"/>
    </row>
    <row r="25" spans="2:16" ht="26.25" customHeight="1">
      <c r="B25" s="1132" t="s">
        <v>1087</v>
      </c>
      <c r="C25" s="363"/>
      <c r="D25" s="360"/>
      <c r="E25" s="393">
        <f>Worksheet!H53</f>
        <v>81.57019402985074</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0.156</v>
      </c>
      <c r="C27" s="378"/>
      <c r="D27" s="360"/>
      <c r="E27" s="250"/>
      <c r="F27" s="380">
        <f>Worksheet!H51</f>
        <v>75.541356580871138</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5"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PAW-Brownsville District 250</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IV (71-90)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1</v>
      </c>
      <c r="O19" s="413"/>
      <c r="P19" s="413"/>
      <c r="Q19" s="413">
        <f>IF(AND(ROUND('M36 Refs'!$AH$118,0)&gt;=Q17,ROUND('M36 Refs'!$AH$118,0)&lt;='Loss Control Planning'!Q18,'M36 Refs'!AN118=0),1,0)</f>
        <v>0</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9</v>
      </c>
      <c r="AE98" s="64">
        <f>Worksheet!Y15</f>
        <v>34.809467305549774</v>
      </c>
      <c r="AF98" s="40">
        <f t="shared" ref="AF98:AF103" si="0">AE98</f>
        <v>34.809467305549774</v>
      </c>
      <c r="AG98" s="40">
        <f>IF(AE98&lt;&gt;0,AF98/10,0)</f>
        <v>3.4809467305549773</v>
      </c>
      <c r="AH98" s="40">
        <f>IFERROR(AD98*AG98,0)</f>
        <v>31.328520574994794</v>
      </c>
      <c r="AI98" s="40">
        <f t="shared" ref="AI98:AI117" si="1">IF(AG98=0,0,AF98-AH98)</f>
        <v>3.4809467305549795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9</v>
      </c>
      <c r="AE99" s="64">
        <f>Worksheet!Z15</f>
        <v>0.17404733652774887</v>
      </c>
      <c r="AF99" s="40">
        <f t="shared" si="0"/>
        <v>0.17404733652774887</v>
      </c>
      <c r="AG99" s="40">
        <f t="shared" ref="AG99:AG117" si="3">IF(AE99&lt;&gt;0,AF99/10,0)</f>
        <v>1.7404733652774888E-2</v>
      </c>
      <c r="AH99" s="40">
        <f t="shared" ref="AH99:AH106" si="4">IFERROR(AD99*AG99,0)</f>
        <v>0.156642602874974</v>
      </c>
      <c r="AI99" s="40">
        <f t="shared" si="1"/>
        <v>1.7404733652774868E-2</v>
      </c>
      <c r="AJ99">
        <f t="array" aca="1" ref="AJ99" ca="1">SUM(1*(AI99&lt;$AI$98:$AI$117))+1+IF(ROW(AI99)-ROW($AI$98)=0,0,SUM(1*(AI99=OFFSET($AI$98,0,0,INDEX(ROW(AI99)-ROW($AI$98)+1,1)-1,1))))</f>
        <v>8</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9</v>
      </c>
      <c r="AE100" s="64">
        <f>Worksheet!Y16</f>
        <v>1.6485357922482589E-2</v>
      </c>
      <c r="AF100" s="40">
        <f t="shared" si="0"/>
        <v>1.6485357922482589E-2</v>
      </c>
      <c r="AG100" s="40">
        <f t="shared" si="3"/>
        <v>1.648535792248259E-3</v>
      </c>
      <c r="AH100" s="40">
        <f t="shared" si="4"/>
        <v>1.4836822130234332E-2</v>
      </c>
      <c r="AI100" s="40">
        <f t="shared" si="1"/>
        <v>1.6485357922482579E-3</v>
      </c>
      <c r="AJ100">
        <f t="array" aca="1" ref="AJ100" ca="1">SUM(1*(AI100&lt;$AI$98:$AI$117))+1+IF(ROW(AI100)-ROW($AI$98)=0,0,SUM(1*(AI100=OFFSET($AI$98,0,0,INDEX(ROW(AI100)-ROW($AI$98)+1,1)-1,1))))</f>
        <v>9</v>
      </c>
      <c r="AK100" s="46" t="str">
        <f t="shared" si="5"/>
        <v>Water Imported (WI)</v>
      </c>
      <c r="AL100">
        <f t="shared" si="6"/>
        <v>1</v>
      </c>
      <c r="AM100">
        <f t="shared" si="7"/>
        <v>1</v>
      </c>
      <c r="AN100">
        <f t="shared" si="2"/>
        <v>0</v>
      </c>
    </row>
    <row r="101" spans="28:40">
      <c r="AC101" s="220" t="s">
        <v>702</v>
      </c>
      <c r="AD101" s="41">
        <f>IF(Worksheet!M16="n/a",0,Worksheet!M16)</f>
        <v>9</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10</v>
      </c>
      <c r="AK101" s="46" t="str">
        <f t="shared" si="5"/>
        <v>WI Error Adjustment (WIEA)</v>
      </c>
      <c r="AL101">
        <f t="shared" si="6"/>
        <v>0</v>
      </c>
      <c r="AM101">
        <f t="shared" si="7"/>
        <v>1</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11</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12</v>
      </c>
      <c r="AK103" s="85" t="str">
        <f t="shared" si="5"/>
        <v>WE Error Adjustment (WEEA)</v>
      </c>
      <c r="AL103">
        <f t="shared" si="6"/>
        <v>0</v>
      </c>
      <c r="AM103" s="68">
        <f t="shared" si="7"/>
        <v>0</v>
      </c>
      <c r="AN103" s="68">
        <f t="shared" si="2"/>
        <v>0</v>
      </c>
    </row>
    <row r="104" spans="28:40">
      <c r="AC104" s="217" t="s">
        <v>690</v>
      </c>
      <c r="AD104" s="73">
        <f>IF(Worksheet!F23="n/a",0,Worksheet!F23)</f>
        <v>8</v>
      </c>
      <c r="AE104" s="221">
        <f>IF(Worksheet!H23&gt;0,Worksheet!Y23,0)</f>
        <v>13.960608396409601</v>
      </c>
      <c r="AF104" s="75">
        <f t="shared" ref="AF104:AF117" si="8">AE104/$AE$120</f>
        <v>17.121500863521209</v>
      </c>
      <c r="AG104" s="75">
        <f t="shared" si="3"/>
        <v>1.7121500863521208</v>
      </c>
      <c r="AH104" s="75">
        <f t="shared" ref="AH104:AH117" si="9">AD104*AG104</f>
        <v>13.697200690816967</v>
      </c>
      <c r="AI104" s="75">
        <f t="shared" si="1"/>
        <v>3.4243001727042426</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13</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3.9391603590398089E-2</v>
      </c>
      <c r="AF106" s="79">
        <f t="shared" si="8"/>
        <v>4.831045723350709E-2</v>
      </c>
      <c r="AG106" s="79">
        <f t="shared" si="3"/>
        <v>4.8310457233507091E-3</v>
      </c>
      <c r="AH106" s="40">
        <f t="shared" si="4"/>
        <v>4.831045723350709E-2</v>
      </c>
      <c r="AI106" s="79">
        <f t="shared" si="1"/>
        <v>0</v>
      </c>
      <c r="AJ106" s="80">
        <f t="array" aca="1" ref="AJ106" ca="1">SUM(1*(AI106&lt;$AI$98:$AI$117))+1+IF(ROW(AI106)-ROW($AI$98)=0,0,SUM(1*(AI106=OFFSET($AI$98,0,0,INDEX(ROW(AI106)-ROW($AI$98)+1,1)-1,1))))</f>
        <v>14</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8</v>
      </c>
      <c r="AE107" s="70">
        <v>2</v>
      </c>
      <c r="AF107" s="71">
        <f t="shared" si="8"/>
        <v>2.4528301886792452</v>
      </c>
      <c r="AG107" s="71">
        <f t="shared" si="3"/>
        <v>0.24528301886792453</v>
      </c>
      <c r="AH107" s="71">
        <f t="shared" si="9"/>
        <v>1.9622641509433962</v>
      </c>
      <c r="AI107" s="71">
        <f t="shared" si="1"/>
        <v>0.49056603773584895</v>
      </c>
      <c r="AJ107" s="72">
        <f t="array" aca="1" ref="AJ107" ca="1">SUM(1*(AI107&lt;$AI$98:$AI$117))+1+IF(ROW(AI107)-ROW($AI$98)=0,0,SUM(1*(AI107=OFFSET($AI$98,0,0,INDEX(ROW(AI107)-ROW($AI$98)+1,1)-1,1))))</f>
        <v>6</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3</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5</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4</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100.00000000000001</v>
      </c>
      <c r="AG118" s="39">
        <f>SUM(AG98:AG117)</f>
        <v>9.9999999999999982</v>
      </c>
      <c r="AH118" s="93">
        <f>SUM(AH98:AH117)</f>
        <v>83.877586619748598</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16" t="s">
        <v>32</v>
      </c>
      <c r="D44" s="1218" t="s">
        <v>1219</v>
      </c>
      <c r="E44" s="1219"/>
      <c r="F44" s="1219"/>
      <c r="G44" s="1219"/>
      <c r="H44" s="1219"/>
      <c r="I44" s="1219"/>
      <c r="J44" s="1219"/>
      <c r="K44" s="1219"/>
      <c r="L44" s="1220"/>
      <c r="M44" s="419"/>
      <c r="N44" s="115"/>
    </row>
    <row r="45" spans="1:14" ht="13.5"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07" t="s">
        <v>1229</v>
      </c>
      <c r="E67" s="1208"/>
      <c r="F67" s="1208"/>
      <c r="G67" s="1208"/>
      <c r="H67" s="1208"/>
      <c r="I67" s="1208"/>
      <c r="J67" s="1208"/>
      <c r="K67" s="1208"/>
      <c r="L67" s="1209"/>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07" t="s">
        <v>1228</v>
      </c>
      <c r="E71" s="1208"/>
      <c r="F71" s="1208"/>
      <c r="G71" s="1208"/>
      <c r="H71" s="1208"/>
      <c r="I71" s="1208"/>
      <c r="J71" s="1208"/>
      <c r="K71" s="1208"/>
      <c r="L71" s="1209"/>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45"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5"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5"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5"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4999999999999"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5"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77A6689-803D-4308-9C4D-5ADD15AE635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2020-12-04T20:09:27Z</cp:lastPrinted>
  <dcterms:created xsi:type="dcterms:W3CDTF">2004-11-04T17:59:53Z</dcterms:created>
  <dcterms:modified xsi:type="dcterms:W3CDTF">2026-03-05T14:08:19Z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