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david_annarumo_amwater_com/Documents/Desktop/2026 AWWA Audit/"/>
    </mc:Choice>
  </mc:AlternateContent>
  <xr:revisionPtr revIDLastSave="16" documentId="13_ncr:1_{B893808E-BA67-4259-8728-6F7B4B78887A}" xr6:coauthVersionLast="47" xr6:coauthVersionMax="47" xr10:uidLastSave="{820D981E-B8C1-4D4C-862C-1E6EF1D5A9EC}"/>
  <workbookProtection workbookPassword="FDB7" lockStructure="1"/>
  <bookViews>
    <workbookView xWindow="-12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<sst xmlns="http://schemas.openxmlformats.org/spreadsheetml/2006/main" count="2551" uniqueCount="1284">
  <si>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</si>
  <si>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</si>
  <si>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</si>
  <si>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</si>
  <si>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</si>
  <si>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</si>
  <si>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</si>
  <si>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</si>
  <si>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</si>
  <si>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</si>
  <si>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</si>
  <si>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</si>
  <si>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</si>
  <si>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</si>
  <si>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</si>
  <si>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</si>
  <si>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</si>
  <si>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</si>
  <si>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</si>
  <si>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</si>
  <si>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</si>
  <si>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</si>
  <si>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</si>
  <si>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</si>
  <si>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</si>
  <si>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</si>
  <si>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</si>
  <si>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</si>
  <si>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</si>
  <si>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</si>
  <si>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</si>
  <si>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</si>
  <si>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</si>
  <si>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</si>
  <si>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</si>
  <si>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</si>
  <si>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</si>
  <si>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</si>
  <si>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</si>
  <si>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</si>
  <si>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</si>
  <si>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</si>
  <si>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</si>
  <si>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</si>
  <si>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</si>
  <si>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</si>
  <si>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</si>
  <si>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</si>
  <si>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</si>
  <si>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</si>
  <si>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</si>
  <si>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</si>
  <si>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</si>
  <si>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</si>
  <si>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</si>
  <si>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</si>
  <si>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</si>
  <si>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</si>
  <si>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</si>
  <si>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</si>
  <si>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</si>
  <si>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</si>
  <si>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</si>
  <si>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</si>
  <si>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</si>
  <si>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</si>
  <si>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</si>
  <si>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</si>
  <si>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</si>
  <si>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</si>
  <si>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</si>
  <si>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</si>
  <si>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</si>
  <si>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</si>
  <si>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</si>
  <si>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</si>
  <si>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</si>
  <si>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</si>
  <si>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</si>
  <si>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</si>
  <si>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</si>
  <si>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</si>
  <si>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</si>
  <si>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</si>
  <si>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</si>
  <si>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</si>
  <si>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</si>
  <si>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</si>
  <si>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</si>
  <si>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</si>
  <si>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</si>
  <si>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</si>
  <si>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</si>
  <si>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</si>
  <si>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</si>
  <si>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</si>
  <si>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</si>
  <si>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</si>
  <si>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</si>
  <si>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</si>
  <si>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</si>
  <si>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</si>
  <si>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</si>
  <si>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</si>
  <si>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</si>
  <si>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</si>
  <si>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</si>
  <si>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</si>
  <si>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</si>
  <si>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</si>
  <si>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</si>
  <si>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</si>
  <si>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</si>
  <si>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</si>
  <si>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</si>
  <si>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</si>
  <si>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</si>
  <si>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</si>
  <si>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</si>
  <si>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</si>
  <si>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</si>
  <si>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</si>
  <si>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</si>
  <si>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</si>
  <si>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</si>
  <si>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</si>
  <si>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</si>
  <si>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</si>
  <si>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</si>
  <si>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</si>
  <si>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</si>
  <si>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</si>
  <si>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</si>
  <si>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</si>
  <si>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</si>
  <si>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</si>
  <si>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</si>
  <si>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</si>
  <si>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</si>
  <si>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</si>
  <si>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</si>
  <si>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</si>
  <si>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</si>
  <si>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</si>
  <si>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</si>
  <si>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</si>
  <si>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</si>
  <si>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</si>
  <si>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</si>
  <si>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</si>
  <si>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</si>
  <si>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</si>
  <si>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</si>
  <si>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</si>
  <si>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</si>
  <si>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</si>
  <si>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</si>
  <si>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</si>
  <si>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</si>
  <si>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</si>
  <si>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</si>
  <si>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</si>
  <si>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</si>
  <si>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</si>
  <si>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</si>
  <si>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</si>
  <si>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</si>
  <si>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</si>
  <si>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</si>
  <si>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</si>
  <si>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</si>
  <si>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</si>
  <si>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</si>
  <si>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</si>
  <si>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</si>
  <si>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</si>
  <si>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</si>
  <si>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</si>
  <si>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</si>
  <si>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</si>
  <si>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</si>
  <si>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</si>
  <si>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</si>
  <si>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</si>
  <si>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</si>
  <si>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</si>
  <si>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</si>
  <si>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</si>
  <si>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</si>
  <si>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</si>
  <si>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</si>
  <si>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</si>
  <si>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</si>
  <si>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</si>
  <si>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</si>
  <si>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</si>
  <si>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</si>
  <si>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</si>
  <si>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</si>
  <si>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</si>
  <si>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</si>
  <si>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</si>
  <si>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</si>
  <si>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</si>
  <si>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</si>
  <si>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</si>
  <si>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</si>
  <si>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</si>
  <si>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</si>
  <si>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</si>
  <si>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</si>
  <si>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</si>
  <si>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</si>
  <si>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</si>
  <si>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</si>
  <si>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</si>
  <si>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</si>
  <si>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</si>
  <si>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</si>
  <si>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</si>
  <si>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</si>
  <si>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</si>
  <si>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</si>
  <si>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</si>
  <si>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</si>
  <si>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</si>
  <si>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</si>
  <si>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</si>
  <si>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</si>
  <si>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</si>
  <si>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</si>
  <si>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</si>
  <si>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</si>
  <si>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</si>
  <si>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</si>
  <si>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</si>
  <si>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</si>
  <si>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</si>
  <si>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</si>
  <si>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</si>
  <si>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</si>
  <si>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</si>
  <si>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</si>
  <si>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</si>
  <si>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</si>
  <si>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</si>
  <si>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</si>
  <si>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</si>
  <si>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</si>
  <si>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</si>
  <si>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</si>
  <si>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</si>
  <si>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</si>
  <si>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</si>
  <si>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</si>
  <si>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</si>
  <si>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</si>
  <si>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</si>
  <si>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</si>
  <si>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</si>
  <si>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</si>
  <si>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</si>
  <si>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</si>
  <si>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</si>
  <si>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</si>
  <si>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</si>
  <si>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</si>
  <si>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</si>
  <si>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</si>
  <si>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</si>
  <si>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</si>
  <si>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</si>
  <si>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</si>
  <si>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</si>
  <si>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</si>
  <si>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</si>
  <si>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</si>
  <si>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</si>
  <si>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</si>
  <si>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</si>
  <si>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</si>
  <si>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</si>
  <si>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</si>
  <si>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</si>
  <si>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</si>
  <si>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</si>
  <si>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</si>
  <si>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</si>
  <si>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</si>
  <si>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</si>
  <si>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</si>
  <si>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</si>
  <si>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</si>
  <si>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</si>
  <si>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</si>
  <si>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</si>
  <si>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</si>
  <si>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</si>
  <si>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</si>
  <si>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</si>
  <si>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</si>
  <si>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</si>
  <si>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</si>
  <si>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</si>
  <si>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</si>
  <si>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</si>
  <si>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</si>
  <si>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</si>
  <si>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</si>
  <si>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</si>
  <si>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</si>
  <si>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</si>
  <si>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</si>
  <si>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</si>
  <si>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</si>
  <si>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</si>
  <si>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</si>
  <si>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</si>
  <si>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</si>
  <si>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</si>
  <si>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</si>
  <si>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</si>
  <si>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</si>
  <si>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</si>
  <si>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</si>
  <si>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</si>
  <si>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</si>
  <si>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</si>
  <si>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</si>
  <si>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</si>
  <si>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</si>
  <si>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</si>
  <si>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</si>
  <si>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</si>
  <si>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</si>
  <si>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</si>
  <si>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</si>
  <si>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</si>
  <si>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</si>
  <si>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</si>
  <si>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</si>
  <si>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</si>
  <si>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</si>
  <si>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</si>
  <si>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</si>
  <si>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</si>
  <si>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</si>
  <si>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</si>
  <si>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</si>
  <si>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</si>
  <si>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</si>
  <si>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</si>
  <si>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</si>
  <si>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</si>
  <si>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</si>
  <si>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</si>
  <si>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</si>
  <si>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</si>
  <si>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</si>
  <si>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</si>
  <si>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</si>
  <si>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</si>
  <si>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</si>
  <si>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</si>
  <si>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</si>
  <si>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</si>
  <si>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</si>
  <si>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</si>
  <si>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</si>
  <si>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</si>
  <si>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</si>
  <si>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</si>
  <si>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</si>
  <si>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</si>
  <si>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</si>
  <si>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</si>
  <si>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</si>
  <si>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</si>
  <si>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</si>
  <si>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</si>
  <si>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</si>
  <si>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</si>
  <si>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</si>
  <si>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</si>
  <si>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</si>
  <si>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</si>
  <si>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</si>
  <si>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</si>
  <si>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</si>
  <si>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</si>
  <si>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</si>
  <si>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</si>
  <si>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</si>
  <si>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</si>
  <si>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</si>
  <si>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</si>
  <si>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</si>
  <si>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</si>
  <si>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</si>
  <si>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</si>
  <si>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</si>
  <si>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</si>
  <si>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</si>
  <si>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</si>
  <si>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</si>
  <si>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</si>
  <si>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</si>
  <si>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</si>
  <si>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</si>
  <si>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</si>
  <si>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</si>
  <si>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</si>
  <si>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</si>
  <si>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</si>
  <si>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</si>
  <si>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</si>
  <si>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</si>
  <si>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</si>
  <si>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</si>
  <si>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</si>
  <si>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</si>
  <si>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</si>
  <si>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</si>
  <si>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</si>
  <si>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</si>
  <si>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</si>
  <si>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</si>
  <si>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</si>
  <si>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</si>
  <si>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</si>
  <si>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</si>
  <si>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</si>
  <si>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</si>
  <si>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</si>
  <si>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</si>
  <si>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</si>
  <si>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</si>
  <si>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</si>
  <si>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</si>
  <si>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</si>
  <si>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</si>
  <si>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</si>
  <si>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</si>
  <si>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</si>
  <si>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</si>
  <si>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</si>
  <si>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</si>
  <si>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</si>
  <si>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</si>
  <si>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</si>
  <si>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</si>
  <si>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</si>
  <si>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</si>
  <si>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</si>
  <si>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</si>
  <si>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</si>
  <si>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</si>
  <si>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</si>
  <si>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</si>
  <si>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</si>
  <si>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</si>
  <si>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</si>
  <si>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</si>
  <si>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</si>
  <si>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</si>
  <si>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</si>
  <si>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</si>
  <si>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</si>
  <si>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</si>
  <si>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</si>
  <si>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</si>
  <si>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</si>
  <si>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</si>
  <si>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</si>
  <si>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</si>
  <si>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</si>
  <si>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</si>
  <si>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</si>
  <si>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</si>
  <si>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</si>
  <si>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</si>
  <si>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</si>
  <si>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</si>
  <si>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</si>
  <si>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</si>
  <si>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</si>
  <si>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</si>
  <si>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</si>
  <si>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</si>
  <si>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</si>
  <si>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</si>
  <si>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</si>
  <si>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</si>
  <si>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</si>
  <si>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</si>
  <si>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</si>
  <si>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</si>
  <si>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</si>
  <si>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</si>
  <si>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</si>
  <si>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</si>
  <si>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</si>
  <si>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</si>
  <si>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</si>
  <si>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</si>
  <si>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</si>
  <si>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</si>
  <si>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</si>
  <si>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</si>
  <si>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</si>
  <si>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</si>
  <si>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</si>
  <si>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</si>
  <si>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</si>
  <si>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</si>
  <si>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</si>
  <si>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</si>
  <si>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</si>
  <si>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</si>
  <si>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</si>
  <si>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</si>
  <si>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</si>
  <si>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</si>
  <si>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</si>
  <si>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</si>
  <si>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</si>
  <si>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</si>
  <si>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</si>
  <si>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</si>
  <si>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</si>
  <si>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</si>
  <si>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</si>
  <si>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</si>
  <si>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</si>
  <si>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</si>
  <si>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</si>
  <si>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</si>
  <si>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</si>
  <si>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</si>
  <si>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</si>
  <si>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</si>
  <si>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</si>
  <si>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</si>
  <si>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</si>
  <si>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</si>
  <si>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</si>
  <si>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</si>
  <si>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</si>
  <si>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</si>
  <si>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</si>
  <si>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</si>
  <si>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</si>
  <si>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</si>
  <si>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</si>
  <si>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</si>
  <si>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</si>
  <si>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</si>
  <si>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</si>
  <si>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</si>
  <si>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</si>
  <si>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</si>
  <si>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</si>
  <si>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</si>
  <si>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</si>
  <si>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</si>
  <si>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</si>
  <si>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</si>
  <si>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</si>
  <si>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</si>
  <si>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</si>
  <si>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</si>
  <si>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</si>
  <si>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</si>
  <si>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</si>
  <si>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</si>
  <si>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</si>
  <si>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</si>
  <si>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</si>
  <si>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</si>
  <si>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</si>
  <si>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</si>
  <si>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</si>
  <si>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</si>
  <si>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</si>
  <si>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</si>
  <si>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</si>
  <si>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</si>
  <si>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</si>
  <si>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</si>
  <si>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</si>
  <si>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</si>
  <si>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</si>
  <si>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</si>
  <si>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</si>
  <si>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</si>
  <si>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</si>
  <si>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</si>
  <si>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</si>
  <si>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</si>
  <si>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</si>
  <si>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</si>
  <si>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</si>
  <si>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</si>
  <si>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</si>
  <si>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</si>
  <si>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</si>
  <si>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</si>
  <si>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</si>
  <si>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</si>
  <si>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</si>
  <si>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</si>
  <si>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</si>
  <si>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</si>
  <si>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</si>
  <si>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</si>
  <si>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</si>
  <si>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</si>
  <si>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</si>
  <si>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</si>
  <si>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</si>
  <si>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</si>
  <si>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</si>
  <si>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</si>
  <si>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</si>
  <si>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</si>
  <si>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</si>
  <si>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</si>
  <si>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</si>
  <si>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</si>
  <si>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</si>
  <si>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</si>
  <si>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</si>
  <si>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</si>
  <si>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</si>
  <si>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</si>
  <si>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</si>
  <si>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</si>
  <si>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</si>
  <si>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</si>
  <si>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</si>
  <si>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</si>
  <si>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</si>
  <si>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</si>
  <si>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</si>
  <si>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</si>
  <si>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</si>
  <si>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</si>
  <si>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</si>
  <si>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</si>
  <si>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</si>
  <si>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</si>
  <si>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</si>
  <si>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</si>
  <si>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</si>
  <si>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</si>
  <si>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</si>
  <si>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</si>
  <si>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</si>
  <si>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</si>
  <si>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</si>
  <si>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</si>
  <si>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</si>
  <si>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</si>
  <si>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</si>
  <si>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</si>
  <si>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</si>
  <si>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</si>
  <si>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</si>
  <si>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</si>
  <si>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</si>
  <si>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</si>
  <si>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</si>
  <si>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</si>
  <si>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</si>
  <si>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</si>
  <si>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</si>
  <si>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</si>
  <si>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</si>
  <si>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</si>
  <si>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</si>
  <si>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</si>
  <si>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</si>
  <si>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</si>
  <si>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</si>
  <si>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</si>
  <si>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</si>
  <si>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</si>
  <si>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</si>
  <si>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</si>
  <si>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</si>
  <si>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</si>
  <si>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</si>
  <si>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</si>
  <si>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</si>
  <si>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</si>
  <si>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</si>
  <si>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</si>
  <si>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</si>
  <si>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</si>
  <si>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</si>
  <si>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</si>
  <si>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</si>
  <si>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</si>
  <si>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</si>
  <si>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</si>
  <si>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</si>
  <si>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</si>
  <si>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</si>
  <si>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</si>
  <si>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</si>
  <si>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</si>
  <si>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</si>
  <si>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</si>
  <si>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</si>
  <si>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</si>
  <si>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</si>
  <si>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</si>
  <si>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</si>
  <si>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</si>
  <si>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</si>
  <si>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</si>
  <si>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</si>
  <si>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</si>
  <si>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</si>
  <si>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</si>
  <si>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</si>
  <si>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</si>
  <si>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</si>
  <si>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</si>
  <si>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</si>
  <si>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</si>
  <si>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</si>
  <si>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</si>
  <si>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</si>
  <si>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</si>
  <si>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</si>
  <si>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</si>
  <si>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</si>
  <si>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</si>
  <si>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</si>
  <si>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</si>
  <si>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</si>
  <si>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</si>
  <si>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</si>
  <si>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</si>
  <si>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</si>
  <si>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</si>
  <si>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</si>
  <si>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</si>
  <si>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</si>
  <si>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</si>
  <si>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</si>
  <si>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</si>
  <si>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</si>
  <si>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</si>
  <si>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</si>
  <si>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</si>
  <si>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</si>
  <si>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</si>
  <si>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</si>
  <si>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</si>
  <si>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</si>
  <si>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</si>
  <si>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</si>
  <si>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</si>
  <si>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</si>
  <si>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</si>
  <si>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</si>
  <si>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</si>
  <si>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</si>
  <si>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</si>
  <si>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</si>
  <si>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</si>
  <si>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</si>
  <si>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</si>
  <si>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</si>
  <si>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</si>
  <si>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</si>
  <si>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</si>
  <si>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</si>
  <si>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</si>
  <si>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</si>
  <si>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</si>
  <si>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</si>
  <si>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</si>
  <si>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</si>
  <si>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</si>
  <si>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</si>
  <si>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</si>
  <si>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</si>
  <si>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</si>
  <si>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</si>
  <si>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</si>
  <si>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</si>
  <si>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</si>
  <si>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</si>
  <si>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</si>
  <si>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</si>
  <si>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</si>
  <si>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</si>
  <si>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</si>
  <si>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</si>
  <si>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</si>
  <si>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</si>
  <si>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</si>
  <si>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</si>
  <si>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</si>
  <si>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</si>
  <si>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</si>
  <si>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</si>
  <si>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</si>
  <si>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</si>
  <si>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</si>
  <si>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</si>
  <si>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</si>
  <si>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</si>
  <si>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</si>
  <si>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</si>
  <si>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</si>
  <si>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</si>
  <si>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</si>
  <si>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</si>
  <si>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</si>
  <si>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</si>
  <si>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</si>
  <si>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</si>
  <si>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</si>
  <si>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</si>
  <si>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</si>
  <si>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</si>
  <si>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</si>
  <si>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</si>
  <si>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</si>
  <si>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</si>
  <si>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</si>
  <si>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</si>
  <si>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</si>
  <si>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</si>
  <si>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</si>
  <si>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</si>
  <si>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</si>
  <si>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</si>
  <si>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</si>
  <si>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</si>
  <si>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</si>
  <si>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</si>
  <si>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</si>
  <si>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</si>
  <si>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</si>
  <si>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</si>
  <si>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</si>
  <si>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</si>
  <si>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</si>
  <si>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</si>
  <si>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</si>
  <si>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</si>
  <si>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</si>
  <si>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</si>
  <si>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</si>
  <si>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</si>
  <si>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</si>
  <si>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</si>
  <si>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</si>
  <si>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</si>
  <si>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</si>
  <si>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</si>
  <si>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</si>
  <si>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</si>
  <si>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</si>
  <si>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</si>
  <si>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</si>
  <si>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</si>
  <si>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</si>
  <si>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</si>
  <si>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</si>
  <si>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</si>
  <si>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</si>
  <si>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</si>
  <si>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</si>
  <si>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</si>
  <si>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</si>
  <si>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</si>
  <si>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</si>
  <si>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</si>
  <si>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</si>
  <si>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</si>
  <si>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</si>
  <si>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</si>
  <si>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</si>
  <si>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</si>
  <si>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</si>
  <si>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</si>
  <si>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</si>
  <si>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</si>
  <si>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</si>
  <si>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</si>
  <si>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</si>
  <si>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</si>
  <si>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</si>
  <si>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</si>
  <si>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</si>
  <si>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</si>
  <si>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</si>
  <si>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</si>
  <si>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</si>
  <si>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</si>
  <si>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</si>
  <si>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</si>
  <si>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</si>
  <si>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</si>
  <si>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</si>
  <si>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</si>
  <si>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</si>
  <si>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</si>
  <si>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</si>
  <si>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</si>
  <si>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</si>
  <si>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</si>
  <si>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</si>
  <si>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</si>
  <si>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</si>
  <si>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</si>
  <si>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</si>
  <si>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</si>
  <si>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</si>
  <si>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</si>
  <si>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</si>
  <si>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</si>
  <si>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</si>
  <si>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</si>
  <si>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</si>
  <si>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</si>
  <si>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</si>
  <si>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</si>
  <si>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</si>
  <si>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</si>
  <si>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</si>
  <si>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</si>
  <si>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</si>
  <si>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</si>
  <si>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</si>
  <si>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</si>
  <si>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</si>
  <si>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</si>
  <si>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</si>
  <si>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</si>
  <si>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</si>
  <si>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</si>
  <si>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</si>
  <si>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</si>
  <si>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</si>
  <si>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</si>
  <si>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</si>
  <si>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</si>
  <si>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</si>
  <si>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</si>
  <si>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</si>
  <si>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</si>
  <si>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</si>
  <si>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</si>
  <si>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</si>
  <si>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</si>
  <si>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</si>
  <si>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</si>
  <si>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</si>
  <si>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</si>
  <si>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</si>
  <si>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</si>
  <si>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</si>
  <si>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</si>
  <si>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</si>
  <si>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</si>
  <si>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</si>
  <si>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</si>
  <si>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</si>
  <si>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</si>
  <si>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</si>
  <si>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</si>
  <si>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</si>
  <si>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</si>
  <si>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</si>
  <si>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</si>
  <si>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</si>
  <si>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</si>
  <si>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</si>
  <si>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</si>
  <si>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</si>
  <si>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</si>
  <si>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</si>
  <si>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</si>
  <si>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</si>
  <si>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</si>
  <si>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</si>
  <si>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</si>
  <si>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</si>
  <si>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</si>
  <si>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</si>
  <si>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</si>
  <si>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</si>
  <si>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</si>
  <si>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</si>
  <si>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</si>
  <si>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</si>
  <si>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</si>
  <si>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</si>
  <si>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</si>
  <si>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</si>
  <si>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</si>
  <si>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</si>
  <si>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</si>
  <si>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</si>
  <si>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</si>
  <si>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</si>
  <si>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</si>
  <si>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</si>
  <si>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</si>
  <si>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</si>
  <si>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</si>
  <si>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</si>
  <si>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</si>
  <si>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</si>
  <si>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</si>
  <si>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</si>
  <si>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</si>
  <si>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</si>
  <si>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</si>
  <si>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</si>
  <si>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</si>
  <si>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</si>
  <si>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</si>
  <si>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</si>
  <si>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</si>
  <si>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</si>
  <si>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</si>
  <si>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</si>
  <si>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</si>
  <si>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</si>
  <si>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</si>
  <si>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</si>
  <si>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</si>
  <si>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</si>
  <si>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</si>
  <si>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</si>
  <si>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</si>
  <si>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</si>
  <si>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</si>
  <si>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</si>
  <si>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</si>
  <si>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</si>
  <si>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</si>
  <si>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</si>
  <si>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</si>
  <si>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</si>
  <si>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</si>
  <si>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</si>
  <si>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</si>
  <si>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</si>
  <si>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</si>
  <si>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</si>
  <si>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</si>
  <si>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</si>
  <si>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</si>
  <si>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</si>
  <si>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</si>
  <si>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</si>
  <si>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</si>
  <si>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</si>
  <si>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</si>
  <si>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</si>
  <si>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</si>
  <si>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</si>
  <si>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</si>
  <si>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</si>
  <si>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</si>
  <si>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</si>
  <si>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</si>
  <si>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</si>
  <si>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</si>
  <si>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</si>
  <si>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</si>
  <si>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</si>
  <si>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</si>
  <si>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</si>
  <si>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</si>
  <si>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</si>
  <si>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</si>
  <si>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</si>
  <si>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</si>
  <si>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</si>
  <si>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</si>
  <si>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</si>
  <si>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</si>
  <si>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</si>
  <si>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</si>
  <si>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</si>
  <si>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</si>
  <si>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</si>
  <si>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</si>
  <si>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</si>
  <si>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</si>
  <si>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</si>
  <si>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</si>
  <si>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</si>
  <si>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</si>
  <si>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</si>
  <si>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</si>
  <si>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</si>
  <si>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</si>
  <si>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</si>
  <si>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</si>
  <si>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</si>
  <si>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</si>
  <si>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</si>
  <si>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</si>
  <si>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</si>
  <si>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</si>
  <si>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</si>
  <si>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</si>
  <si>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</si>
  <si>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</si>
  <si>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</si>
  <si>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</si>
  <si>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</si>
  <si>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</si>
  <si>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</si>
  <si>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</si>
  <si>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</si>
  <si>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</si>
  <si>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</si>
  <si>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</si>
  <si>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</si>
  <si>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</si>
  <si>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</si>
  <si>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</si>
  <si>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</si>
  <si>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</si>
  <si>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</si>
  <si>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</si>
  <si>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</si>
  <si>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</si>
  <si>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</si>
  <si>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</si>
  <si>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</si>
  <si>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</si>
  <si>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</si>
  <si>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</si>
  <si>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</si>
  <si>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</si>
  <si>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</si>
  <si>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</si>
  <si>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</si>
  <si>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</si>
  <si>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</si>
  <si>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</si>
  <si>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</si>
  <si>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</si>
  <si>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</si>
  <si>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</si>
  <si>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</si>
  <si>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</si>
  <si>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</si>
  <si>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</si>
  <si>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</si>
  <si>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</si>
  <si>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</si>
  <si>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</si>
  <si>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</si>
  <si>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</si>
  <si>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</si>
  <si>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</si>
  <si>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</si>
  <si>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</si>
  <si>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</si>
  <si>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</si>
  <si>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</si>
  <si>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</si>
  <si>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</si>
  <si>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</si>
  <si>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</si>
  <si>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</si>
  <si>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</si>
  <si>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</si>
  <si>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</si>
  <si>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</si>
  <si>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</si>
  <si>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</si>
  <si>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</si>
  <si>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</si>
  <si>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</si>
  <si>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</si>
  <si>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</si>
  <si>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</si>
  <si>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</si>
  <si>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</si>
  <si>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</si>
  <si>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</si>
  <si>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</si>
  <si>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</si>
  <si>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</si>
  <si>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</si>
  <si>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</si>
  <si>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</si>
  <si>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</si>
  <si>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</si>
  <si>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</si>
  <si>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</si>
  <si>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</si>
  <si>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</si>
  <si>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</si>
  <si>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</si>
  <si>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</si>
  <si>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</si>
  <si>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</si>
  <si>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</si>
  <si>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</si>
  <si>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</si>
  <si>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</si>
  <si>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</si>
  <si>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</si>
  <si>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</si>
  <si>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</si>
  <si>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</si>
  <si>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</si>
  <si>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</si>
  <si>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</si>
  <si>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</si>
  <si>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</si>
  <si>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</si>
  <si>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</si>
  <si>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</si>
  <si>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</si>
  <si>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</si>
  <si>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</si>
  <si>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</si>
  <si>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</si>
  <si>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</si>
  <si>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</si>
  <si>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</si>
  <si>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</si>
  <si>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</si>
  <si>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</si>
  <si>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</si>
  <si>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</si>
  <si>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</si>
  <si>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</si>
  <si>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</si>
  <si>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</si>
  <si>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</si>
  <si>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</si>
  <si>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</si>
  <si>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</si>
  <si>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</si>
  <si>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</si>
  <si>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</si>
  <si>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</si>
  <si>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</si>
  <si>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</si>
  <si>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</si>
  <si>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</si>
  <si>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</si>
  <si>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</si>
  <si>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</si>
  <si>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</si>
  <si>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</si>
  <si>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</si>
  <si>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</si>
  <si>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</si>
  <si>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</si>
  <si>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</si>
  <si>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</si>
  <si>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</si>
  <si>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</si>
  <si>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</si>
  <si>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</si>
  <si>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</si>
  <si>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Clarion District 430</t>
  </si>
  <si>
    <t>David Annarumo</t>
  </si>
  <si>
    <t>david.annarumo@amwater.com</t>
  </si>
  <si>
    <t>Clarion</t>
  </si>
  <si>
    <t>USA</t>
  </si>
  <si>
    <t>Calendar</t>
  </si>
  <si>
    <t>6160001</t>
  </si>
  <si>
    <t>N/A</t>
  </si>
  <si>
    <t>412-965-3382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</si>
</sst>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65.620954034848836</c:v>
                </c:pt>
                <c:pt idx="1">
                  <c:v>2.0024160337996988</c:v>
                </c:pt>
                <c:pt idx="2">
                  <c:v>182.67863415631379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4.1989621694672836</c:v>
                </c:pt>
                <c:pt idx="1">
                  <c:v>0.26113598867139654</c:v>
                </c:pt>
                <c:pt idx="2">
                  <c:v>28.181900425785887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53.098186696405634</c:v>
                </c:pt>
                <c:pt idx="1">
                  <c:v>0.92482240795754933</c:v>
                </c:pt>
                <c:pt idx="2">
                  <c:v>61.579791890330483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24.109712174687221</c:v>
                </c:pt>
                <c:pt idx="1">
                  <c:v>0.38772920688421864</c:v>
                </c:pt>
                <c:pt idx="2">
                  <c:v>23.968709478955887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28.98847452171842</c:v>
                </c:pt>
                <c:pt idx="1">
                  <c:v>0.56875750335916142</c:v>
                </c:pt>
                <c:pt idx="2">
                  <c:v>41.537455894817597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141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6.8849999999999998</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9.9589999999999996</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0.77078749999999996</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6.4326530612244675</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0.77078749999999996</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116.64619764158678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$298,050/Yr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8902.5115499999993</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12877.285769999999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12324.892125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100793.04819489761</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12324.892125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150827.03293650094</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32.865808526427514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2.048480135774629</c:v>
                </c:pt>
                <c:pt idx="1">
                  <c:v>9.0856271993300333E-2</c:v>
                </c:pt>
                <c:pt idx="2">
                  <c:v>9.2176975913946126</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61.42199186538155</c:v>
                </c:pt>
                <c:pt idx="1">
                  <c:v>1.8469276802355887</c:v>
                </c:pt>
                <c:pt idx="2">
                  <c:v>167.59704048383145</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1953.4145701441332</c:v>
                </c:pt>
                <c:pt idx="1">
                  <c:v>97.186039594358903</c:v>
                </c:pt>
                <c:pt idx="2" formatCode="_(* #,##0_);_(* \(#,##0\);_(* &quot;-&quot;??_);_(@_)">
                  <c:v>10097.654339556369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image" Target="../media/image9.emf"/><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CRUC"/><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image" Target="../media/image7.emf"/><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48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48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485"/>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486"/>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487"/>
                  </a:ext>
                </a:extLst>
              </xdr:cNvPicPr>
            </xdr:nvPicPr>
            <xdr:blipFill rotWithShape="1">
              <a:blip xmlns:r="http://schemas.openxmlformats.org/officeDocument/2006/relationships" r:embed="rId7"/>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488"/>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489"/>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490"/>
                  </a:ext>
                </a:extLst>
              </xdr:cNvPicPr>
            </xdr:nvPicPr>
            <xdr:blipFill rotWithShape="1">
              <a:blip xmlns:r="http://schemas.openxmlformats.org/officeDocument/2006/relationships" r:embed="rId7"/>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491"/>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492"/>
                  </a:ext>
                </a:extLst>
              </xdr:cNvPicPr>
            </xdr:nvPicPr>
            <xdr:blipFill rotWithShape="1">
              <a:blip xmlns:r="http://schemas.openxmlformats.org/officeDocument/2006/relationships" r:embed="rId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493"/>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494"/>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495"/>
                  </a:ext>
                </a:extLst>
              </xdr:cNvPicPr>
            </xdr:nvPicPr>
            <xdr:blipFill rotWithShape="1">
              <a:blip xmlns:r="http://schemas.openxmlformats.org/officeDocument/2006/relationships" r:embed="rId7"/>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496"/>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497"/>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498"/>
                  </a:ext>
                </a:extLst>
              </xdr:cNvPicPr>
            </xdr:nvPicPr>
            <xdr:blipFill rotWithShape="1">
              <a:blip xmlns:r="http://schemas.openxmlformats.org/officeDocument/2006/relationships" r:embed="rId7"/>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499"/>
                  </a:ext>
                </a:extLst>
              </xdr:cNvPicPr>
            </xdr:nvPicPr>
            <xdr:blipFill rotWithShape="1">
              <a:blip xmlns:r="http://schemas.openxmlformats.org/officeDocument/2006/relationships" r:embed="rId7"/>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500"/>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501"/>
                  </a:ext>
                </a:extLst>
              </xdr:cNvPicPr>
            </xdr:nvPicPr>
            <xdr:blipFill rotWithShape="1">
              <a:blip xmlns:r="http://schemas.openxmlformats.org/officeDocument/2006/relationships" r:embed="rId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4"/>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G23" sqref="BG23"/>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5"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5"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5"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5"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5"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899999999999999"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5"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5"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1283</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5"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1278</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1279</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46107</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1280</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1281</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1282</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1282</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4233</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5"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5"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5"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5"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5"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5"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5"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5"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53" orientation="portrait"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S68" sqref="S68"/>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Clarion District 430</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485.15800000000002</v>
      </c>
      <c r="I15" s="269"/>
      <c r="J15" s="270" t="str">
        <f>IF('Start Page'!$AB$22="million gallons (US)","MG/Yr",IF('Start Page'!$AB$22="Megalitres (thousand cubic metres)","ML/Yr",IF('Start Page'!$AB$22="acre-feet","Acre-ft/Yr","")))</f>
        <v>MG/Yr</v>
      </c>
      <c r="K15" s="844" t="s">
        <v>881</v>
      </c>
      <c r="L15" s="607" t="s">
        <v>882</v>
      </c>
      <c r="M15" s="492">
        <f>'Interactive Data Grading'!D43</f>
        <v>9</v>
      </c>
      <c r="N15" s="270"/>
      <c r="O15" s="487">
        <v>4.0000000000000001E-3</v>
      </c>
      <c r="P15" s="580" t="s">
        <v>787</v>
      </c>
      <c r="Q15" s="1033"/>
      <c r="R15" s="1038"/>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1.9406320000000001</v>
      </c>
      <c r="Y15" s="103">
        <f>$Y$19/$Y$18*H15</f>
        <v>32.3792907208624</v>
      </c>
      <c r="Z15" s="147">
        <f>$Y$19/$Y$18*ABS(X15)</f>
        <v>0.12951716288344961</v>
      </c>
      <c r="AA15" s="896">
        <f>IF(W15=1,input_VOS-input_VOS/(1+O15*AB15),Q15*AB15)</f>
        <v>-1.9484257028112211</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487.10642570281124</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f>'Interactive Data Grading'!D127</f>
        <v>10</v>
      </c>
      <c r="G17" s="94"/>
      <c r="H17" s="321">
        <v>37.326999999999998</v>
      </c>
      <c r="I17" s="269"/>
      <c r="J17" s="270" t="str">
        <f>IF('Start Page'!$AB$22="million gallons (US)","MG/Yr",IF('Start Page'!$AB$22="Megalitres (thousand cubic metres)","ML/Yr",IF('Start Page'!$AB$22="acre-feet","Acre-ft/Yr","")))</f>
        <v>MG/Yr</v>
      </c>
      <c r="K17" s="844" t="s">
        <v>881</v>
      </c>
      <c r="L17" s="607" t="s">
        <v>882</v>
      </c>
      <c r="M17" s="492" t="str">
        <f>'Interactive Data Grading'!D150</f>
        <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2.4911921162541497</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37.326999999999998</v>
      </c>
    </row>
    <row r="18" spans="1:33" ht="14.45"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524.42563200000006</v>
      </c>
      <c r="Z18" s="148"/>
      <c r="AF18" s="264">
        <f>SUM(AF15:AF17)</f>
        <v>0</v>
      </c>
      <c r="AG18" s="46" t="s">
        <v>1199</v>
      </c>
    </row>
    <row r="19" spans="1:33" ht="13.5" thickBot="1">
      <c r="A19" s="91"/>
      <c r="B19" s="561"/>
      <c r="C19" s="1074" t="s">
        <v>109</v>
      </c>
      <c r="D19" s="1074"/>
      <c r="E19" s="1074"/>
      <c r="F19" s="1074"/>
      <c r="G19" s="265"/>
      <c r="H19" s="868">
        <f>IF(AF18&gt;0,"Select under/over",IF(H15&gt;0,IF(W15=1,H15/(1+O15*AB15),H15-Q15*AB15),0)+IF(H16&gt;0,IF(W16=1,H16/(1+O16*AB16),H16-Q16*AB16),0)-IF(H17&gt;0,IF(W17=1,H17/(1+O17*AB17),H17-Q17*AB17),0))</f>
        <v>449.77942570281124</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10</v>
      </c>
      <c r="G23" s="94"/>
      <c r="H23" s="321">
        <v>308.315</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13.694194162436549</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0.30580583756345175</v>
      </c>
      <c r="Z24" s="146"/>
    </row>
    <row r="25" spans="1:33" ht="13.35" customHeight="1">
      <c r="A25" s="91"/>
      <c r="B25" s="562" t="s">
        <v>919</v>
      </c>
      <c r="C25" s="529" t="s">
        <v>483</v>
      </c>
      <c r="D25" s="841" t="s">
        <v>881</v>
      </c>
      <c r="E25" s="577" t="s">
        <v>882</v>
      </c>
      <c r="F25" s="492">
        <f>'Interactive Data Grading'!D224</f>
        <v>10</v>
      </c>
      <c r="G25" s="94"/>
      <c r="H25" s="501">
        <v>6.8849999999999998</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315.2</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9.9589999999999996</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9.9589999999999996</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325.15899999999999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124.62042570281125</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0.77078749999999996</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1033"/>
      <c r="R39" s="103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6.432653061224471</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0.77078749999999996</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1033"/>
      <c r="R43" s="1033"/>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7.9742280612244709</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6.2921428571428351</v>
      </c>
      <c r="Y50" s="135">
        <f>IFERROR(IF(W41=1,((H25)/(1-(O41*X41)))-(H25),Q41*H25/(H23+H25)),0)</f>
        <v>0.14051020408163239</v>
      </c>
      <c r="Z50" s="923">
        <f>SUM(X50:Y50)</f>
        <v>6.4326530612244675</v>
      </c>
      <c r="AA50" s="1070"/>
      <c r="AB50" s="1070"/>
      <c r="AC50" s="1070"/>
    </row>
    <row r="51" spans="1:29">
      <c r="A51" s="91"/>
      <c r="B51" s="562"/>
      <c r="C51" s="1050" t="s">
        <v>662</v>
      </c>
      <c r="D51" s="1050"/>
      <c r="E51" s="1050"/>
      <c r="F51" s="1050"/>
      <c r="G51" s="869"/>
      <c r="H51" s="868">
        <f>IFERROR(H35-H46,"")</f>
        <v>116.64619764158678</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100611.36428571393</v>
      </c>
      <c r="Y51" s="940">
        <f>Y50*input_VPC</f>
        <v>181.68390918367314</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124.62042570281125</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141.46442570281124</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163.6</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5203</v>
      </c>
      <c r="I62" s="291"/>
      <c r="J62" s="292"/>
      <c r="K62" s="101"/>
      <c r="L62" s="101"/>
      <c r="M62" s="292" t="s">
        <v>902</v>
      </c>
      <c r="N62" s="101"/>
      <c r="U62" s="256"/>
      <c r="V62" s="91"/>
    </row>
    <row r="63" spans="1:29">
      <c r="A63" s="91"/>
      <c r="B63" s="562"/>
      <c r="C63" s="529" t="s">
        <v>165</v>
      </c>
      <c r="D63" s="53"/>
      <c r="E63" s="512"/>
      <c r="F63" s="273"/>
      <c r="G63" s="53"/>
      <c r="H63" s="500">
        <f>IF(ISERROR(H62/H61),"",H62/H61)</f>
        <v>31.80317848410758</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22.4</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22.4</v>
      </c>
      <c r="X67" s="54" t="s">
        <v>130</v>
      </c>
      <c r="Y67" s="54"/>
      <c r="Z67" s="54"/>
    </row>
    <row r="68" spans="1:26">
      <c r="A68" s="91"/>
      <c r="B68" s="562" t="s">
        <v>915</v>
      </c>
      <c r="C68" s="529" t="s">
        <v>487</v>
      </c>
      <c r="D68" s="841" t="s">
        <v>881</v>
      </c>
      <c r="E68" s="577" t="s">
        <v>882</v>
      </c>
      <c r="F68" s="492">
        <f>'Interactive Data Grading'!D422</f>
        <v>10</v>
      </c>
      <c r="G68" s="53"/>
      <c r="H68" s="325">
        <v>85.2</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1293.03</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2036927</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Customer Metering Inaccuracies (CMI)</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46" sqref="D246"/>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PAW- Clarion District 430</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5"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1</v>
      </c>
      <c r="S9" s="214" t="s">
        <v>909</v>
      </c>
      <c r="T9" s="214">
        <v>3</v>
      </c>
    </row>
    <row r="10" spans="1:20" ht="64.150000000000006"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267</v>
      </c>
      <c r="E41" s="753" t="str">
        <f t="shared" si="3"/>
        <v>Limiting</v>
      </c>
      <c r="F41" s="327"/>
      <c r="G41" s="824">
        <f t="shared" ref="G41:G42" si="4">IF(LEN(D41)&gt;0,1,0)</f>
        <v>1</v>
      </c>
      <c r="H41" s="818">
        <f>VLOOKUP('Interactive Data Grading'!D41,VOSEA!$E$6:$G$18,3,FALSE)</f>
        <v>9</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9</v>
      </c>
      <c r="E43" s="753"/>
      <c r="F43" s="327"/>
      <c r="G43" s="824">
        <f>MIN(G39:G42)</f>
        <v>1</v>
      </c>
      <c r="H43" s="821">
        <f t="array" ref="H43">MIN(IF(ISNUMBER(H39:H42),H39:H42))</f>
        <v>9</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45"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260</v>
      </c>
      <c r="E115" s="753"/>
      <c r="F115" s="327"/>
      <c r="H115" s="810" t="s">
        <v>528</v>
      </c>
      <c r="I115" s="817"/>
      <c r="J115" s="810" t="s">
        <v>791</v>
      </c>
    </row>
    <row r="116" spans="1:18" ht="17.45" customHeight="1">
      <c r="A116" s="215"/>
      <c r="B116" s="215" t="s">
        <v>379</v>
      </c>
      <c r="C116" s="884" t="str">
        <f>WE!B35</f>
        <v>What percent of water exported is metered?</v>
      </c>
      <c r="D116" s="329" t="s">
        <v>291</v>
      </c>
      <c r="E116" s="753" t="str">
        <f>IF(OR(D127=10,NOT(ISNUMBER(D127))),"",IF(I116=I127,"Limiting",IF(VLOOKUP(D116,$P$7:$Q$15,2,FALSE)=0,"Limiting","")))</f>
        <v/>
      </c>
      <c r="F116" s="327"/>
      <c r="G116" s="810">
        <f>IF(LEN(D116)&gt;0,1,0)</f>
        <v>1</v>
      </c>
      <c r="H116" s="818">
        <f>VLOOKUP('Interactive Data Grading'!D116,WE!$C$6:$M$16,11,FALSE)</f>
        <v>10</v>
      </c>
      <c r="I116" s="818">
        <f>H116</f>
        <v>10</v>
      </c>
    </row>
    <row r="117" spans="1:18" ht="67.150000000000006"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t="s">
        <v>292</v>
      </c>
      <c r="E118" s="753" t="str">
        <f>IFERROR(IF(OR($D$127=10,NOT(ISNUMBER($D$127))),"",IF(I118=$I$127,"Limiting","")),"")</f>
        <v/>
      </c>
      <c r="F118" s="327"/>
      <c r="G118" s="810">
        <f>IFERROR(IF(H116&lt;7,1,IF(LEN(D118)&gt;0,1,0)),"")</f>
        <v>1</v>
      </c>
      <c r="H118" s="818">
        <f>VLOOKUP('Interactive Data Grading'!D118,WE!$D$6:$M$16,10,FALSE)</f>
        <v>10</v>
      </c>
      <c r="I118" s="819">
        <f>IF(AND(H118&gt;=7,H121&gt;=7),MAX(H118,9),IF(AND(H118&gt;3,H118&lt;7,H121&gt;3,H121&lt;7),MAX(H118,H121),IF(H121&gt;=7,MAX(7,H118),H118)))</f>
        <v>10</v>
      </c>
    </row>
    <row r="119" spans="1:18" ht="25.9" customHeight="1">
      <c r="A119" s="215"/>
      <c r="B119" s="215" t="s">
        <v>381</v>
      </c>
      <c r="C119" s="884" t="str">
        <f>WE!B37</f>
        <v>What level of data transfer errors are checked as part of the electronic calibration process?</v>
      </c>
      <c r="D119" s="334" t="s">
        <v>803</v>
      </c>
      <c r="E119" s="753" t="str">
        <f t="shared" ref="E119:E126" si="9">IFERROR(IF(OR($D$127=10,NOT(ISNUMBER($D$127))),"",IF(I119=$I$127,"Limiting","")),"")</f>
        <v/>
      </c>
      <c r="F119" s="327"/>
      <c r="G119" s="820">
        <f>IFERROR(IF(H116&lt;7,1,IF(OR(D118=WE!D23,D118=WE!D27),1,IF(LEN(D119)&gt;0,1,0))),"")</f>
        <v>1</v>
      </c>
      <c r="H119" s="818">
        <f>VLOOKUP('Interactive Data Grading'!D119,WE!$E$6:$M$16,9,FALSE)</f>
        <v>10</v>
      </c>
      <c r="I119" s="818">
        <f>H119</f>
        <v>10</v>
      </c>
      <c r="J119" s="810" t="s">
        <v>815</v>
      </c>
    </row>
    <row r="120" spans="1:18" ht="18" customHeight="1">
      <c r="A120" s="215"/>
      <c r="B120" s="215" t="s">
        <v>382</v>
      </c>
      <c r="C120" s="884" t="str">
        <f>WE!B38</f>
        <v>Is the most recent electronic calibration documentation available?</v>
      </c>
      <c r="D120" s="329" t="s">
        <v>260</v>
      </c>
      <c r="E120" s="753" t="str">
        <f t="shared" si="9"/>
        <v/>
      </c>
      <c r="F120" s="327"/>
      <c r="G120" s="810">
        <f>IFERROR(IF(H116&lt;7,1,IF(OR(D118=WE!D23,D118=WE!D27),1,IF(LEN(D120)&gt;0,1,0))),"")</f>
        <v>1</v>
      </c>
      <c r="H120" s="818">
        <f>VLOOKUP('Interactive Data Grading'!D120,WE!$F$6:$M$16,8,FALSE)</f>
        <v>10</v>
      </c>
      <c r="I120" s="819">
        <f>IF(D118=WE!D23,X,IF(AND(H120=5,H122=10),7,H120))</f>
        <v>10</v>
      </c>
      <c r="J120" s="810" t="s">
        <v>380</v>
      </c>
    </row>
    <row r="121" spans="1:18" ht="16.149999999999999" customHeight="1">
      <c r="A121" s="215"/>
      <c r="B121" s="215" t="s">
        <v>383</v>
      </c>
      <c r="C121" s="884" t="str">
        <f>WE!B39</f>
        <v>What is the frequency of in-situ flow accuracy testing?</v>
      </c>
      <c r="D121" s="329" t="s">
        <v>292</v>
      </c>
      <c r="E121" s="753" t="str">
        <f t="shared" si="9"/>
        <v/>
      </c>
      <c r="F121" s="327"/>
      <c r="G121" s="810">
        <f>IFERROR(IF(H116&lt;7,1,IF(LEN(D121)&gt;0,1,0)),"")</f>
        <v>1</v>
      </c>
      <c r="H121" s="818">
        <f>VLOOKUP('Interactive Data Grading'!D121,WE!$G$6:$M$16,7,FALSE)</f>
        <v>10</v>
      </c>
      <c r="I121" s="819">
        <f>IF(AND(H118&gt;=7,H121&gt;=7),MAX(H121,9),IF(AND(H118&gt;3,H118&lt;7,H121&gt;3,H121&lt;7),MAX(H118,H121),IF(H118&gt;=7,MAX(7,H121),H121)))</f>
        <v>10</v>
      </c>
    </row>
    <row r="122" spans="1:18" ht="19.899999999999999" customHeight="1">
      <c r="A122" s="215"/>
      <c r="B122" s="215" t="s">
        <v>384</v>
      </c>
      <c r="C122" s="884" t="str">
        <f>WE!B40</f>
        <v>Is the most recent in-situ flow accuracy testing documentation available?</v>
      </c>
      <c r="D122" s="329" t="s">
        <v>260</v>
      </c>
      <c r="E122" s="753" t="str">
        <f t="shared" si="9"/>
        <v/>
      </c>
      <c r="F122" s="327"/>
      <c r="G122" s="810">
        <f>IFERROR(IF(H116&lt;7,1,IF(D121=WE!G23,1,IF(LEN(D122)&gt;0,1,0))),"")</f>
        <v>1</v>
      </c>
      <c r="H122" s="818">
        <f>VLOOKUP('Interactive Data Grading'!D122,WE!$H$6:$M$16,6,FALSE)</f>
        <v>10</v>
      </c>
      <c r="I122" s="819">
        <f>IF(D121=WE!G23,X,IF(AND(H122=5,H120=10),7,H122))</f>
        <v>10</v>
      </c>
      <c r="J122" s="810" t="s">
        <v>382</v>
      </c>
    </row>
    <row r="123" spans="1:18" ht="27" customHeight="1">
      <c r="A123" s="215"/>
      <c r="B123" s="215" t="s">
        <v>385</v>
      </c>
      <c r="C123" s="884" t="str">
        <f>WE!B41</f>
        <v>What are the total volume-weighted average results of in-situ flow accuracy testing (during or closest to audit year)?</v>
      </c>
      <c r="D123" s="329" t="s">
        <v>804</v>
      </c>
      <c r="E123" s="753" t="str">
        <f t="shared" si="9"/>
        <v/>
      </c>
      <c r="F123" s="327"/>
      <c r="G123" s="810">
        <f>IFERROR(IF(H116&lt;7,1,IF(OR(D121=WE!G23,D122=WE!H23),1,IF(LEN(D123)&gt;0,1,0))),"")</f>
        <v>1</v>
      </c>
      <c r="H123" s="818">
        <f>VLOOKUP('Interactive Data Grading'!D123,WE!$I$6:$M$16,5,FALSE)</f>
        <v>10</v>
      </c>
      <c r="I123" s="818">
        <f>IF(OR(D121=WE!G23,D122=WE!H23),X,H123)</f>
        <v>10</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t="s">
        <v>260</v>
      </c>
      <c r="E124" s="753" t="str">
        <f t="shared" si="9"/>
        <v/>
      </c>
      <c r="F124" s="327"/>
      <c r="G124" s="810">
        <f>IFERROR(IF(H116&lt;7,1,IF(AND(OR(D118=WE!D23,D118=WE!D27),D121=WE!G23),1,IF(LEN(D124)&gt;0,1,0))),"")</f>
        <v>1</v>
      </c>
      <c r="H124" s="818">
        <f>VLOOKUP('Interactive Data Grading'!D124,WE!$J$6:$M$16,4,FALSE)</f>
        <v>10</v>
      </c>
      <c r="I124" s="818">
        <f>IF(OR(D121=WE!G23,D122=WE!H23),X,H124)</f>
        <v>10</v>
      </c>
      <c r="J124" s="820" t="s">
        <v>817</v>
      </c>
    </row>
    <row r="125" spans="1:18" ht="25.15" customHeight="1">
      <c r="A125" s="215"/>
      <c r="B125" s="215" t="s">
        <v>387</v>
      </c>
      <c r="C125" s="884" t="str">
        <f>WE!B43</f>
        <v>Which best describes the frequency of meter readings (data collection frequency as opposed to billing frequency)?</v>
      </c>
      <c r="D125" s="329" t="s">
        <v>322</v>
      </c>
      <c r="E125" s="753" t="str">
        <f t="shared" si="9"/>
        <v/>
      </c>
      <c r="F125" s="327"/>
      <c r="G125" s="810">
        <f>IFERROR(IF(H116&lt;7,1,IF(LEN(D125)&gt;0,1,0)),"")</f>
        <v>1</v>
      </c>
      <c r="H125" s="818">
        <f>VLOOKUP('Interactive Data Grading'!D125,WE!$K$6:$M$16,3,FALSE)</f>
        <v>10</v>
      </c>
      <c r="I125" s="818">
        <f>H125</f>
        <v>10</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t="s">
        <v>721</v>
      </c>
      <c r="E126" s="753" t="str">
        <f t="shared" si="9"/>
        <v/>
      </c>
      <c r="F126" s="327"/>
      <c r="G126" s="810">
        <f>IFERROR(IF(H116&lt;7,1,IF(LEN(D126)&gt;0,1,0)),"")</f>
        <v>1</v>
      </c>
      <c r="H126" s="818">
        <f>VLOOKUP('Interactive Data Grading'!D126,WE!$L$6:$M$16,2,FALSE)</f>
        <v>10</v>
      </c>
      <c r="I126" s="818">
        <f>H126</f>
        <v>10</v>
      </c>
    </row>
    <row r="127" spans="1:18" ht="27.6" customHeight="1">
      <c r="A127" s="215"/>
      <c r="B127" s="215"/>
      <c r="C127" s="328" t="s">
        <v>313</v>
      </c>
      <c r="D127" s="756">
        <f>IF(D115="","",IF(D115="No","n/a",IF(G127=0,"",IF(R9=0,H116,I127))))</f>
        <v>10</v>
      </c>
      <c r="E127" s="753"/>
      <c r="F127" s="327"/>
      <c r="G127" s="810">
        <f>MIN(G116:G126)</f>
        <v>1</v>
      </c>
      <c r="H127" s="821">
        <f>MIN(H116:H126)</f>
        <v>10</v>
      </c>
      <c r="I127" s="821">
        <f t="array" ref="I127">MIN(IF(ISNUMBER(I116:I126),I116:I126))</f>
        <v>10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419</v>
      </c>
      <c r="E171" s="753" t="str">
        <f t="shared" si="13"/>
        <v/>
      </c>
      <c r="F171" s="327"/>
      <c r="G171" s="811">
        <f t="shared" ref="G171:G175" si="14">IF($D$169="No",1,IF(LEN(D171)&gt;0,1,0))</f>
        <v>1</v>
      </c>
      <c r="H171" s="825">
        <f>VLOOKUP('Interactive Data Grading'!D171,BMAC!$D$6:$J$15,7,FALSE)</f>
        <v>10</v>
      </c>
      <c r="I171" s="825">
        <f t="shared" ref="I171:I175" si="15">H171</f>
        <v>10</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10</v>
      </c>
      <c r="E177" s="753"/>
      <c r="F177" s="327"/>
      <c r="G177" s="811">
        <f>MIN(G170:G176)</f>
        <v>1</v>
      </c>
      <c r="H177" s="821">
        <f>MIN(H169:H176)</f>
        <v>10</v>
      </c>
      <c r="I177" s="821">
        <f t="array" ref="I177">MIN(IF(ISNUMBER(I168:I176),I168:I176))</f>
        <v>10</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This Data Grading Criteria is hidden when the 'default' input is used on the Worksheet</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78"/>
      <c r="O270" s="1078"/>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78"/>
      <c r="O292" s="1078"/>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Limiting</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970</v>
      </c>
      <c r="E296" s="753" t="str">
        <f t="shared" si="17"/>
        <v/>
      </c>
      <c r="F296" s="327"/>
      <c r="G296" s="810">
        <f t="shared" si="16"/>
        <v>1</v>
      </c>
      <c r="H296" s="818">
        <f>VLOOKUP('Interactive Data Grading'!D296,CMI!$H$6:$J$16,3,FALSE)</f>
        <v>10</v>
      </c>
      <c r="I296" s="818">
        <f>H296</f>
        <v>10</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5"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This Data Grading Criteria is hidden when the 'default' input is used on the Worksheet</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Clarion District 430</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5" customHeight="1">
      <c r="A7" s="243"/>
      <c r="B7" s="335"/>
      <c r="C7" s="58"/>
      <c r="D7" s="247"/>
      <c r="E7" s="852"/>
      <c r="F7" s="247"/>
      <c r="G7" s="247"/>
      <c r="H7" s="678"/>
      <c r="I7" s="792" t="s">
        <v>237</v>
      </c>
      <c r="J7" s="1090">
        <f>BR6</f>
        <v>92</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5"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53.098186696405634</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53.098186696405634</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53.098186696405634</v>
      </c>
      <c r="AB18" s="1100"/>
      <c r="AC18" s="1100"/>
      <c r="AD18" s="871" t="str">
        <f>BD13</f>
        <v>$/conn/year</v>
      </c>
      <c r="AE18" s="872"/>
      <c r="AF18" s="873"/>
      <c r="AG18" s="873"/>
      <c r="AH18" s="874"/>
      <c r="AI18" s="874"/>
      <c r="AJ18" s="872"/>
      <c r="AK18" s="1100">
        <f>BS22</f>
        <v>24.109712174687221</v>
      </c>
      <c r="AL18" s="1100"/>
      <c r="AM18" s="1100"/>
      <c r="AN18" s="871" t="str">
        <f>BD13</f>
        <v>$/conn/year</v>
      </c>
      <c r="AO18" s="872"/>
      <c r="AP18" s="872"/>
      <c r="AQ18" s="872"/>
      <c r="AR18" s="872"/>
      <c r="AS18" s="872"/>
      <c r="AT18" s="872"/>
      <c r="AU18" s="1100">
        <f>BS29</f>
        <v>28.98847452171842</v>
      </c>
      <c r="AV18" s="1100"/>
      <c r="AW18" s="1100"/>
      <c r="AX18" s="871" t="str">
        <f>BD13</f>
        <v>$/conn/year</v>
      </c>
      <c r="AY18" s="701"/>
      <c r="AZ18" s="247"/>
      <c r="BA18" s="247"/>
      <c r="BB18" s="342"/>
      <c r="BC18" s="109"/>
      <c r="BD18" s="58" t="s">
        <v>706</v>
      </c>
      <c r="BE18" s="234">
        <f>(((5.41*Worksheet!H61)+(0.15*Worksheet!H62)+(7.5*(Worksheet!H62*Worksheet!W67/5280)))*Worksheet!H68)/1000000*365</f>
        <v>56.942801447999997</v>
      </c>
      <c r="BN18" s="659"/>
      <c r="BO18" s="716" t="s">
        <v>1039</v>
      </c>
      <c r="BP18" s="718">
        <f>BQ18-BQ17</f>
        <v>8.9525318444022357</v>
      </c>
      <c r="BQ18" s="900">
        <f t="shared" si="0"/>
        <v>18.283980813778896</v>
      </c>
      <c r="BR18" s="716" t="s">
        <v>779</v>
      </c>
      <c r="BS18" s="720">
        <f>SUM(BP16:BP20)-SUM(BS16,BS17)</f>
        <v>61.579791890330483</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174.75081183459204</v>
      </c>
      <c r="BF19" s="233">
        <f>BE19*325851.427242/Worksheet!H62/365</f>
        <v>29.984177436094559</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311.62932624000007</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24.109712174687221</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24.109712174687221</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23.968709478955887</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65.620954034848836</v>
      </c>
      <c r="AB29" s="1104"/>
      <c r="AC29" s="1104"/>
      <c r="AD29" s="870" t="str">
        <f>BD10</f>
        <v>gal/conn/day</v>
      </c>
      <c r="AE29" s="870"/>
      <c r="AF29" s="875"/>
      <c r="AG29" s="875"/>
      <c r="AH29" s="700"/>
      <c r="AI29" s="700"/>
      <c r="AJ29" s="700"/>
      <c r="AK29" s="1104">
        <f>BS43</f>
        <v>4.1989621694672836</v>
      </c>
      <c r="AL29" s="1104"/>
      <c r="AM29" s="1104"/>
      <c r="AN29" s="871" t="str">
        <f>BD10</f>
        <v>gal/conn/day</v>
      </c>
      <c r="AO29" s="700"/>
      <c r="AP29" s="700"/>
      <c r="AQ29" s="700"/>
      <c r="AR29" s="700"/>
      <c r="AS29" s="700"/>
      <c r="AT29" s="700"/>
      <c r="AU29" s="1110">
        <f>BS55</f>
        <v>61.42199186538155</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28.98847452171842</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28.98847452171842</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85.2</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41.537455894817597</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65.620954034848836</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65.620954034848836</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182.67863415631379</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2.048480135774629</v>
      </c>
      <c r="AI41" s="1109"/>
      <c r="AJ41" s="1109"/>
      <c r="AK41" s="870" t="s">
        <v>1048</v>
      </c>
      <c r="AL41" s="799"/>
      <c r="AM41" s="800"/>
      <c r="AN41" s="796"/>
      <c r="AO41" s="796"/>
      <c r="AP41" s="796"/>
      <c r="AQ41" s="796"/>
      <c r="AR41" s="796"/>
      <c r="AS41" s="1108">
        <f>BS69</f>
        <v>1953.4145701441332</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56.942801447999997</v>
      </c>
      <c r="AL43" s="1106"/>
      <c r="AM43" s="1106"/>
      <c r="AN43" s="1106"/>
      <c r="AO43" s="916" t="str">
        <f>BD7</f>
        <v>MG/Yr</v>
      </c>
      <c r="AP43" s="700"/>
      <c r="AQ43" s="700"/>
      <c r="AR43" s="700"/>
      <c r="AS43" s="1106">
        <f>IF(BG19=1,BF19,IFERROR(AK43*1000000/Worksheet!H62/365,""))</f>
        <v>29.984177436094559</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4.1989621694672836</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4.1989621694672836</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28.181900425785887</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7.9742280612244709</v>
      </c>
      <c r="J49" s="1115"/>
      <c r="K49" s="1115"/>
      <c r="L49" s="1115"/>
      <c r="M49" s="683"/>
      <c r="N49" s="1116">
        <f>IF(OR(ISBLANK('Start Page'!$AB$22),ISBLANK(Worksheet!J76)),"",(SUM(Worksheet!H43+Worksheet!H39+Worksheet!X50)*Worksheet!H76)*INDEX(Sheet1!B2:D4,MATCH('Start Page'!AB22,Sheet1!A2:A4,0),MATCH(Worksheet!J76,Sheet1!B1:D1,0))+Worksheet!Y50*Worksheet!H77)</f>
        <v>125442.83244489761</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116.64619764158678</v>
      </c>
      <c r="J50" s="1115"/>
      <c r="K50" s="1115"/>
      <c r="L50" s="1115"/>
      <c r="M50" s="683"/>
      <c r="N50" s="1116">
        <f>IFERROR(IF(Worksheet!H41="Select under/over","",IF(ISBLANK('Start Page'!AB22),"",Worksheet!H51*(IF(BD29=FALSE,Worksheet!H77,IF(BD29=TRUE,Worksheet!H76*INDEX(Sheet1!B2:D4,MATCH('Start Page'!AB22,Sheet1!A2:A4,0),MATCH(Worksheet!J76,Sheet1!B1:D1,0)),""))))),"")</f>
        <v>150827.03293650094</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16.844000000000001</v>
      </c>
      <c r="J51" s="1115"/>
      <c r="K51" s="1115"/>
      <c r="L51" s="1115"/>
      <c r="M51" s="683"/>
      <c r="N51" s="1116">
        <f>IFERROR(IF(SUM(Sheet1!D90:D91)=0,"",SUM(Sheet1!D90:D91)),"")</f>
        <v>21779.797319999998</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141.46442570281124</v>
      </c>
      <c r="J52" s="1115"/>
      <c r="K52" s="1115"/>
      <c r="L52" s="1115"/>
      <c r="M52" s="683"/>
      <c r="N52" s="1116">
        <f>IF(SUM(N49:N51)=0,"",SUM(N49:N51))</f>
        <v>298049.66270139854</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61.42199186538155</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61.42199186538155</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167.59704048383145</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2.048480135774629</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2.048480135774629</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9.2176975913946126</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1953.4145701441332</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1953.4145701441332</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10097.654339556369</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32.865808526427514</v>
      </c>
      <c r="BQ83" s="733">
        <f>BP83+BQ78</f>
        <v>85.2</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Clarion District 430</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24"/>
      <c r="H7" s="1124"/>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18" t="s">
        <v>1137</v>
      </c>
      <c r="G10" s="1121"/>
      <c r="H10" s="1121"/>
    </row>
    <row r="11" spans="2:21" ht="28.9"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 customHeight="1">
      <c r="B12" s="538"/>
      <c r="C12" s="518"/>
      <c r="D12" s="538"/>
      <c r="F12" s="1120"/>
      <c r="G12" s="1123"/>
      <c r="H12" s="1123"/>
      <c r="J12" s="838"/>
      <c r="K12" s="838"/>
      <c r="L12" s="838"/>
      <c r="M12" s="838"/>
      <c r="N12" s="838"/>
      <c r="O12" s="838"/>
      <c r="P12" s="838"/>
      <c r="Q12" s="838"/>
      <c r="R12" s="838"/>
      <c r="S12" s="838"/>
      <c r="T12" s="838"/>
      <c r="U12" s="838"/>
    </row>
    <row r="13" spans="2:21" ht="28.9" customHeight="1">
      <c r="B13" s="538"/>
      <c r="C13" s="518"/>
      <c r="D13" s="538"/>
      <c r="F13" s="1118" t="s">
        <v>1138</v>
      </c>
      <c r="G13" s="1121"/>
      <c r="H13" s="1121"/>
      <c r="J13" s="838"/>
      <c r="K13" s="838"/>
      <c r="L13" s="838"/>
      <c r="M13" s="838"/>
      <c r="N13" s="838"/>
      <c r="O13" s="838"/>
      <c r="P13" s="838"/>
      <c r="Q13" s="838"/>
      <c r="R13" s="838"/>
      <c r="S13" s="838"/>
      <c r="T13" s="838"/>
      <c r="U13" s="838"/>
    </row>
    <row r="14" spans="2:21" ht="28.9" customHeight="1">
      <c r="B14" s="845" t="s">
        <v>1154</v>
      </c>
      <c r="C14" s="518"/>
      <c r="D14" s="845" t="s">
        <v>1155</v>
      </c>
      <c r="F14" s="1119"/>
      <c r="G14" s="1122"/>
      <c r="H14" s="1122"/>
    </row>
    <row r="15" spans="2:21" ht="28.9" customHeight="1">
      <c r="B15" s="846"/>
      <c r="C15" s="518"/>
      <c r="D15" s="846"/>
      <c r="F15" s="1120"/>
      <c r="G15" s="1123"/>
      <c r="H15" s="1123"/>
    </row>
    <row r="16" spans="2:21" ht="28.9" customHeight="1">
      <c r="B16" s="538"/>
      <c r="C16" s="518"/>
      <c r="D16" s="538"/>
      <c r="F16" s="1118" t="s">
        <v>1139</v>
      </c>
      <c r="G16" s="1126"/>
      <c r="H16" s="1126"/>
    </row>
    <row r="17" spans="2:8" ht="28.9" customHeight="1">
      <c r="B17" s="845" t="s">
        <v>1154</v>
      </c>
      <c r="C17" s="518"/>
      <c r="D17" s="845" t="s">
        <v>1155</v>
      </c>
      <c r="F17" s="1119"/>
      <c r="G17" s="1127"/>
      <c r="H17" s="1127"/>
    </row>
    <row r="18" spans="2:8" ht="28.9" customHeight="1">
      <c r="B18" s="538"/>
      <c r="C18" s="518"/>
      <c r="D18" s="538"/>
      <c r="F18" s="1120"/>
      <c r="G18" s="1128"/>
      <c r="H18" s="1128"/>
    </row>
    <row r="19" spans="2:8" ht="28.9" customHeight="1">
      <c r="B19" s="538"/>
      <c r="C19" s="518"/>
      <c r="D19" s="538"/>
      <c r="F19" s="1118" t="s">
        <v>1140</v>
      </c>
      <c r="G19" s="1126"/>
      <c r="H19" s="1126"/>
    </row>
    <row r="20" spans="2:8" ht="28.9" customHeight="1">
      <c r="B20" s="845" t="s">
        <v>1154</v>
      </c>
      <c r="C20" s="518"/>
      <c r="D20" s="845" t="s">
        <v>1155</v>
      </c>
      <c r="F20" s="1119"/>
      <c r="G20" s="1127"/>
      <c r="H20" s="1127"/>
    </row>
    <row r="21" spans="2:8" ht="28.9" customHeight="1">
      <c r="B21" s="538"/>
      <c r="C21" s="518"/>
      <c r="D21" s="538"/>
      <c r="F21" s="1120"/>
      <c r="G21" s="1128"/>
      <c r="H21" s="1128"/>
    </row>
    <row r="22" spans="2:8" ht="28.9" customHeight="1">
      <c r="B22" s="538"/>
      <c r="C22" s="518"/>
      <c r="D22" s="538"/>
      <c r="F22" s="1118" t="s">
        <v>1131</v>
      </c>
      <c r="G22" s="1126"/>
      <c r="H22" s="1126"/>
    </row>
    <row r="23" spans="2:8" ht="28.9" customHeight="1">
      <c r="B23" s="845" t="s">
        <v>1154</v>
      </c>
      <c r="C23" s="518"/>
      <c r="D23" s="845" t="s">
        <v>1155</v>
      </c>
      <c r="F23" s="1119"/>
      <c r="G23" s="1127"/>
      <c r="H23" s="1127"/>
    </row>
    <row r="24" spans="2:8" ht="28.9" customHeight="1">
      <c r="B24" s="538"/>
      <c r="C24" s="518"/>
      <c r="D24" s="538"/>
      <c r="F24" s="1120"/>
      <c r="G24" s="1128"/>
      <c r="H24" s="1128"/>
    </row>
    <row r="25" spans="2:8" ht="28.9" customHeight="1">
      <c r="B25" s="538"/>
      <c r="C25" s="518"/>
      <c r="D25" s="538"/>
      <c r="F25" s="1118" t="s">
        <v>1141</v>
      </c>
      <c r="G25" s="1129"/>
      <c r="H25" s="1129"/>
    </row>
    <row r="26" spans="2:8" ht="28.9" customHeight="1">
      <c r="B26" s="845" t="s">
        <v>1154</v>
      </c>
      <c r="C26" s="518"/>
      <c r="D26" s="845" t="s">
        <v>1155</v>
      </c>
      <c r="F26" s="1119"/>
      <c r="G26" s="1130"/>
      <c r="H26" s="1130"/>
    </row>
    <row r="27" spans="2:8" ht="28.9" customHeight="1">
      <c r="B27" s="538"/>
      <c r="C27" s="518"/>
      <c r="D27" s="538"/>
      <c r="F27" s="1120"/>
      <c r="G27" s="1131"/>
      <c r="H27" s="1131"/>
    </row>
    <row r="28" spans="2:8" ht="28.9" customHeight="1">
      <c r="B28" s="538"/>
      <c r="C28" s="518"/>
      <c r="D28" s="538"/>
      <c r="F28" s="1118" t="s">
        <v>1142</v>
      </c>
      <c r="G28" s="1126"/>
      <c r="H28" s="1126"/>
    </row>
    <row r="29" spans="2:8" ht="28.9" customHeight="1">
      <c r="B29" s="845" t="s">
        <v>1154</v>
      </c>
      <c r="C29" s="518"/>
      <c r="D29" s="845" t="s">
        <v>1155</v>
      </c>
      <c r="F29" s="1119"/>
      <c r="G29" s="1127"/>
      <c r="H29" s="1127"/>
    </row>
    <row r="30" spans="2:8" ht="28.9" customHeight="1">
      <c r="B30" s="538"/>
      <c r="C30" s="518"/>
      <c r="D30" s="538"/>
      <c r="F30" s="1120"/>
      <c r="G30" s="1128"/>
      <c r="H30" s="1128"/>
    </row>
    <row r="31" spans="2:8" ht="28.9" customHeight="1">
      <c r="B31" s="538"/>
      <c r="C31" s="518"/>
      <c r="D31" s="538"/>
      <c r="F31" s="1118" t="s">
        <v>1143</v>
      </c>
      <c r="G31" s="1126"/>
      <c r="H31" s="1126"/>
    </row>
    <row r="32" spans="2:8" ht="28.9" customHeight="1">
      <c r="B32" s="845" t="s">
        <v>1154</v>
      </c>
      <c r="C32" s="518"/>
      <c r="D32" s="845" t="s">
        <v>1155</v>
      </c>
      <c r="F32" s="1119"/>
      <c r="G32" s="1127"/>
      <c r="H32" s="1127"/>
    </row>
    <row r="33" spans="2:8" ht="28.9" customHeight="1">
      <c r="B33" s="538"/>
      <c r="C33" s="518"/>
      <c r="D33" s="538"/>
      <c r="F33" s="1120"/>
      <c r="G33" s="1128"/>
      <c r="H33" s="1128"/>
    </row>
    <row r="34" spans="2:8" ht="28.9" customHeight="1">
      <c r="B34" s="538"/>
      <c r="C34" s="518"/>
      <c r="D34" s="538"/>
      <c r="F34" s="1118" t="s">
        <v>1144</v>
      </c>
      <c r="G34" s="1129"/>
      <c r="H34" s="1129"/>
    </row>
    <row r="35" spans="2:8" ht="28.9" customHeight="1">
      <c r="B35" s="845" t="s">
        <v>1154</v>
      </c>
      <c r="C35" s="518"/>
      <c r="D35" s="845" t="s">
        <v>1155</v>
      </c>
      <c r="F35" s="1119"/>
      <c r="G35" s="1130"/>
      <c r="H35" s="1130"/>
    </row>
    <row r="36" spans="2:8" ht="28.9" customHeight="1">
      <c r="B36" s="538"/>
      <c r="C36" s="518"/>
      <c r="D36" s="538"/>
      <c r="F36" s="1120"/>
      <c r="G36" s="1131"/>
      <c r="H36" s="1131"/>
    </row>
    <row r="37" spans="2:8" ht="28.9" customHeight="1">
      <c r="B37" s="538"/>
      <c r="C37" s="518"/>
      <c r="D37" s="538"/>
      <c r="F37" s="1118" t="s">
        <v>1145</v>
      </c>
      <c r="G37" s="1129"/>
      <c r="H37" s="1129"/>
    </row>
    <row r="38" spans="2:8" ht="28.9" customHeight="1">
      <c r="B38" s="845" t="s">
        <v>1154</v>
      </c>
      <c r="C38" s="518"/>
      <c r="D38" s="845" t="s">
        <v>1155</v>
      </c>
      <c r="F38" s="1119"/>
      <c r="G38" s="1130"/>
      <c r="H38" s="1130"/>
    </row>
    <row r="39" spans="2:8" ht="28.9" customHeight="1">
      <c r="B39" s="538"/>
      <c r="C39" s="518"/>
      <c r="D39" s="538"/>
      <c r="F39" s="1120"/>
      <c r="G39" s="1131"/>
      <c r="H39" s="1131"/>
    </row>
    <row r="40" spans="2:8" ht="28.9" customHeight="1">
      <c r="B40" s="538"/>
      <c r="C40" s="518"/>
      <c r="D40" s="538"/>
      <c r="F40" s="1118" t="s">
        <v>1146</v>
      </c>
      <c r="G40" s="1129"/>
      <c r="H40" s="1129"/>
    </row>
    <row r="41" spans="2:8" ht="28.9" customHeight="1">
      <c r="B41" s="845" t="s">
        <v>1154</v>
      </c>
      <c r="C41" s="518"/>
      <c r="D41" s="845" t="s">
        <v>1155</v>
      </c>
      <c r="F41" s="1119"/>
      <c r="G41" s="1130"/>
      <c r="H41" s="1130"/>
    </row>
    <row r="42" spans="2:8" ht="28.9" customHeight="1">
      <c r="B42" s="538"/>
      <c r="C42" s="518"/>
      <c r="D42" s="538"/>
      <c r="F42" s="1120"/>
      <c r="G42" s="1131"/>
      <c r="H42" s="1131"/>
    </row>
    <row r="43" spans="2:8" ht="28.9" customHeight="1">
      <c r="B43" s="538"/>
      <c r="C43" s="518"/>
      <c r="D43" s="538"/>
      <c r="F43" s="1118" t="s">
        <v>1147</v>
      </c>
      <c r="G43" s="1129"/>
      <c r="H43" s="1129"/>
    </row>
    <row r="44" spans="2:8" ht="28.9" customHeight="1">
      <c r="B44" s="845" t="s">
        <v>1154</v>
      </c>
      <c r="C44" s="518"/>
      <c r="D44" s="845" t="s">
        <v>1155</v>
      </c>
      <c r="F44" s="1119"/>
      <c r="G44" s="1130"/>
      <c r="H44" s="1130"/>
    </row>
    <row r="45" spans="2:8" ht="28.9" customHeight="1">
      <c r="B45" s="538"/>
      <c r="C45" s="518"/>
      <c r="D45" s="538"/>
      <c r="F45" s="1120"/>
      <c r="G45" s="1131"/>
      <c r="H45" s="1131"/>
    </row>
    <row r="46" spans="2:8" ht="28.9" customHeight="1">
      <c r="B46" s="538"/>
      <c r="C46" s="518"/>
      <c r="D46" s="538"/>
      <c r="F46" s="1118" t="s">
        <v>1148</v>
      </c>
      <c r="G46" s="1129"/>
      <c r="H46" s="1129"/>
    </row>
    <row r="47" spans="2:8" ht="28.9" customHeight="1">
      <c r="B47" s="845" t="s">
        <v>1154</v>
      </c>
      <c r="C47" s="518"/>
      <c r="D47" s="845" t="s">
        <v>1155</v>
      </c>
      <c r="F47" s="1119"/>
      <c r="G47" s="1130"/>
      <c r="H47" s="1130"/>
    </row>
    <row r="48" spans="2:8" ht="28.9" customHeight="1">
      <c r="B48" s="538"/>
      <c r="C48" s="518"/>
      <c r="D48" s="538"/>
      <c r="F48" s="1120"/>
      <c r="G48" s="1131"/>
      <c r="H48" s="1131"/>
    </row>
    <row r="49" spans="2:8" ht="28.9" customHeight="1">
      <c r="B49" s="538"/>
      <c r="C49" s="518"/>
      <c r="D49" s="538"/>
      <c r="F49" s="1118" t="s">
        <v>1125</v>
      </c>
      <c r="G49" s="1129"/>
      <c r="H49" s="1129"/>
    </row>
    <row r="50" spans="2:8" ht="28.9" customHeight="1">
      <c r="B50" s="845" t="s">
        <v>1154</v>
      </c>
      <c r="C50" s="518"/>
      <c r="D50" s="845" t="s">
        <v>1155</v>
      </c>
      <c r="F50" s="1119"/>
      <c r="G50" s="1130"/>
      <c r="H50" s="1130"/>
    </row>
    <row r="51" spans="2:8" ht="28.9" customHeight="1">
      <c r="B51" s="538"/>
      <c r="C51" s="518"/>
      <c r="D51" s="538"/>
      <c r="F51" s="1120"/>
      <c r="G51" s="1131"/>
      <c r="H51" s="1131"/>
    </row>
    <row r="52" spans="2:8" ht="28.9" customHeight="1">
      <c r="B52" s="538"/>
      <c r="C52" s="518"/>
      <c r="D52" s="538"/>
      <c r="F52" s="1118" t="s">
        <v>1149</v>
      </c>
      <c r="G52" s="1129"/>
      <c r="H52" s="1129"/>
    </row>
    <row r="53" spans="2:8" ht="28.9" customHeight="1">
      <c r="B53" s="845" t="s">
        <v>1154</v>
      </c>
      <c r="C53" s="518"/>
      <c r="D53" s="845" t="s">
        <v>1155</v>
      </c>
      <c r="F53" s="1119"/>
      <c r="G53" s="1130"/>
      <c r="H53" s="1130"/>
    </row>
    <row r="54" spans="2:8" ht="28.9" customHeight="1">
      <c r="B54" s="538"/>
      <c r="C54" s="518"/>
      <c r="D54" s="538"/>
      <c r="F54" s="1120"/>
      <c r="G54" s="1131"/>
      <c r="H54" s="1131"/>
    </row>
    <row r="55" spans="2:8" ht="28.9" customHeight="1">
      <c r="B55" s="538"/>
      <c r="C55" s="518"/>
      <c r="D55" s="538"/>
      <c r="F55" s="1118" t="s">
        <v>1150</v>
      </c>
      <c r="G55" s="1129"/>
      <c r="H55" s="1129"/>
    </row>
    <row r="56" spans="2:8" ht="28.9" customHeight="1">
      <c r="B56" s="845" t="s">
        <v>1154</v>
      </c>
      <c r="C56" s="518"/>
      <c r="D56" s="845" t="s">
        <v>1155</v>
      </c>
      <c r="F56" s="1119"/>
      <c r="G56" s="1130"/>
      <c r="H56" s="1130"/>
    </row>
    <row r="57" spans="2:8" ht="28.9" customHeight="1">
      <c r="B57" s="538"/>
      <c r="C57" s="518"/>
      <c r="D57" s="538"/>
      <c r="F57" s="1120"/>
      <c r="G57" s="1131"/>
      <c r="H57" s="1131"/>
    </row>
    <row r="58" spans="2:8" ht="28.9" customHeight="1">
      <c r="B58" s="538"/>
      <c r="C58" s="518"/>
      <c r="D58" s="538"/>
      <c r="F58" s="1118" t="s">
        <v>1151</v>
      </c>
      <c r="G58" s="1129"/>
      <c r="H58" s="1129"/>
    </row>
    <row r="59" spans="2:8" ht="28.9" customHeight="1">
      <c r="B59" s="845" t="s">
        <v>1154</v>
      </c>
      <c r="C59" s="518"/>
      <c r="D59" s="845" t="s">
        <v>1155</v>
      </c>
      <c r="F59" s="1119"/>
      <c r="G59" s="1130"/>
      <c r="H59" s="1130"/>
    </row>
    <row r="60" spans="2:8" ht="28.9" customHeight="1">
      <c r="B60" s="538"/>
      <c r="C60" s="518"/>
      <c r="D60" s="538"/>
      <c r="F60" s="1120"/>
      <c r="G60" s="1131"/>
      <c r="H60" s="1131"/>
    </row>
    <row r="61" spans="2:8" ht="28.9" customHeight="1">
      <c r="B61" s="538"/>
      <c r="C61" s="518"/>
      <c r="D61" s="538"/>
      <c r="F61" s="1118" t="s">
        <v>1152</v>
      </c>
      <c r="G61" s="1129"/>
      <c r="H61" s="1129"/>
    </row>
    <row r="62" spans="2:8" ht="28.9" customHeight="1">
      <c r="B62" s="845" t="s">
        <v>1154</v>
      </c>
      <c r="C62" s="518"/>
      <c r="D62" s="845" t="s">
        <v>1155</v>
      </c>
      <c r="F62" s="1119"/>
      <c r="G62" s="1130"/>
      <c r="H62" s="1130"/>
    </row>
    <row r="63" spans="2:8" ht="28.9" customHeight="1">
      <c r="B63" s="538"/>
      <c r="C63" s="518"/>
      <c r="D63" s="538"/>
      <c r="F63" s="1120"/>
      <c r="G63" s="1131"/>
      <c r="H63" s="1131"/>
    </row>
    <row r="64" spans="2:8" ht="28.9" customHeight="1">
      <c r="B64" s="538"/>
      <c r="C64" s="518"/>
      <c r="D64" s="538"/>
      <c r="F64" s="1118" t="s">
        <v>1153</v>
      </c>
      <c r="G64" s="1129"/>
      <c r="H64" s="1129"/>
    </row>
    <row r="65" spans="2:8" ht="28.9" customHeight="1">
      <c r="B65" s="845" t="s">
        <v>1154</v>
      </c>
      <c r="C65" s="518"/>
      <c r="D65" s="845" t="s">
        <v>1155</v>
      </c>
      <c r="F65" s="1119"/>
      <c r="G65" s="1130"/>
      <c r="H65" s="1130"/>
    </row>
    <row r="66" spans="2:8" ht="28.9"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141 MG/Yr</v>
      </c>
    </row>
    <row r="79" spans="1:6" ht="16.5">
      <c r="B79" s="52"/>
      <c r="C79" s="52"/>
      <c r="D79" s="52"/>
      <c r="E79" s="9" t="str">
        <f>IFERROR("Total Cost of NRW = $"&amp;TEXT(SUM(D90,D91,D94,D95,D96,D97,D99),"#,###")&amp;"/Yr","")</f>
        <v>Total Cost of NRW = $298,050/Yr</v>
      </c>
      <c r="F79" s="52"/>
    </row>
    <row r="80" spans="1:6">
      <c r="A80"/>
      <c r="B80"/>
      <c r="C80" s="53" t="str">
        <f>"Volume ("&amp;Worksheet!J15&amp;")"</f>
        <v>Volume (MG/Yr)</v>
      </c>
      <c r="D80" s="53" t="s">
        <v>147</v>
      </c>
      <c r="E80" s="94" t="s">
        <v>1085</v>
      </c>
      <c r="F80"/>
    </row>
    <row r="81" spans="1:6">
      <c r="A81" s="46" t="s">
        <v>127</v>
      </c>
      <c r="B81" s="46"/>
      <c r="C81" s="122">
        <f>IF(Dashboard!BO$2&gt;0,"",Worksheet!H15)</f>
        <v>485.15800000000002</v>
      </c>
      <c r="D81" s="123">
        <f>IF(Dashboard!BO$2&gt;0,"",C81*(Worksheet!$H$77))</f>
        <v>627323.84874000004</v>
      </c>
      <c r="E81" s="605">
        <f>D81</f>
        <v>627323.84874000004</v>
      </c>
      <c r="F81" s="84" t="s">
        <v>1084</v>
      </c>
    </row>
    <row r="82" spans="1:6">
      <c r="A82" s="46" t="str">
        <f>A81&amp;" MA"</f>
        <v>Vol. from own sources: MA</v>
      </c>
      <c r="B82" s="46"/>
      <c r="C82" s="122">
        <f>IF(Dashboard!BO$2&gt;0,"",Worksheet!X15)</f>
        <v>1.9406320000000001</v>
      </c>
      <c r="D82" s="123">
        <f>IF(Dashboard!BO$2&gt;0,"",C82*(Worksheet!$H$77))</f>
        <v>2509.2953949600001</v>
      </c>
      <c r="E82" s="605">
        <f t="shared" ref="E82:E100" si="0">D82</f>
        <v>2509.2953949600001</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37.326999999999998</v>
      </c>
      <c r="D85" s="123">
        <f>IF(Dashboard!BO$2&gt;0,"",C85*(Worksheet!$H$77))</f>
        <v>48264.930809999998</v>
      </c>
      <c r="E85" s="605">
        <f t="shared" si="0"/>
        <v>48264.930809999998</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449.77942570281124</v>
      </c>
      <c r="D87" s="123">
        <f>IF(Dashboard!BO$2&gt;0,"",C87*(Worksheet!$H$77))</f>
        <v>581578.29081650602</v>
      </c>
      <c r="E87" s="605">
        <f t="shared" si="0"/>
        <v>581578.29081650602</v>
      </c>
      <c r="F87"/>
    </row>
    <row r="88" spans="1:6">
      <c r="A88" s="158" t="s">
        <v>1269</v>
      </c>
      <c r="B88"/>
      <c r="C88" s="122">
        <f>IF(Dashboard!BO$2&gt;0,"",Worksheet!H23)</f>
        <v>308.315</v>
      </c>
      <c r="D88" s="123">
        <f>IF(Dashboard!BO$2&gt;0,"",C88*(Worksheet!$H$76*1000))</f>
        <v>4929956.8499999996</v>
      </c>
      <c r="E88" s="605">
        <f t="shared" si="0"/>
        <v>4929956.8499999996</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6.8849999999999998</v>
      </c>
      <c r="D90" s="951">
        <f>IF(Dashboard!BO$2&gt;0,"",IF(ISBLANK('Start Page'!AB22),"",IF(AND(ISBLANK(Worksheet!H77),Worksheet!Z77&lt;&gt;1),"",Worksheet!H25*(IF(Dashboard!BD29=FALSE,Worksheet!H77,IF(Dashboard!BD29=TRUE,Worksheet!H76*INDEX(Sheet1!B2:D4,MATCH('Start Page'!AB22,Sheet1!A2:A4,0),MATCH(Worksheet!J76,Sheet1!B1:D1,0)),""))))))</f>
        <v>8902.5115499999993</v>
      </c>
      <c r="E90" s="952">
        <f t="shared" si="0"/>
        <v>8902.5115499999993</v>
      </c>
      <c r="F90"/>
    </row>
    <row r="91" spans="1:6">
      <c r="A91" s="953" t="str">
        <f>"Unbilled Unmetered (UUAC) valued at "&amp;A76&amp;""</f>
        <v xml:space="preserve">Unbilled Unmetered (UUAC) valued at </v>
      </c>
      <c r="B91" s="949"/>
      <c r="C91" s="950">
        <f>IF(Dashboard!BO$2&gt;0,"",Worksheet!H26)</f>
        <v>9.9589999999999996</v>
      </c>
      <c r="D91" s="951">
        <f>IF(Dashboard!BO$2&gt;0,"",IF(ISBLANK('Start Page'!AB22),"",IF(AND(ISBLANK(Worksheet!H77),Worksheet!Z77&lt;&gt;1),"",Worksheet!H26*(IF(Dashboard!BD29=FALSE,Worksheet!H77,IF(Dashboard!BD29=TRUE,Worksheet!H76*INDEX(Sheet1!B2:D4,MATCH('Start Page'!AB22,Sheet1!A2:A4,0),MATCH(Worksheet!J76,Sheet1!B1:D1,0)),""))))))</f>
        <v>12877.285769999999</v>
      </c>
      <c r="E91" s="952">
        <f t="shared" si="0"/>
        <v>12877.285769999999</v>
      </c>
      <c r="F91"/>
    </row>
    <row r="92" spans="1:6">
      <c r="A92" s="158" t="s">
        <v>2</v>
      </c>
      <c r="B92" s="125" t="s">
        <v>239</v>
      </c>
      <c r="C92" s="122">
        <f>IF(Dashboard!BO$2&gt;0,"",Worksheet!H30)</f>
        <v>325.15899999999999</v>
      </c>
      <c r="D92" s="123">
        <f>IF(Dashboard!BO$2&gt;0,"",C92*(Worksheet!$H$76*1000))</f>
        <v>5199292.41</v>
      </c>
      <c r="E92" s="605">
        <f t="shared" si="0"/>
        <v>5199292.41</v>
      </c>
      <c r="F92"/>
    </row>
    <row r="93" spans="1:6">
      <c r="A93" t="s">
        <v>51</v>
      </c>
      <c r="B93"/>
      <c r="C93" s="122">
        <f>IF(Dashboard!BO$2&gt;0,"",Worksheet!H35)</f>
        <v>124.62042570281125</v>
      </c>
      <c r="D93" s="123"/>
      <c r="E93" s="605">
        <f t="shared" si="0"/>
        <v>0</v>
      </c>
      <c r="F93"/>
    </row>
    <row r="94" spans="1:6">
      <c r="A94" s="223" t="s">
        <v>678</v>
      </c>
      <c r="B94" s="46"/>
      <c r="C94" s="126">
        <f>IF(Dashboard!BO$2&gt;0,"",Worksheet!H43)</f>
        <v>0.77078749999999996</v>
      </c>
      <c r="D94" s="127">
        <f>IF(Dashboard!BO$2&gt;0,"",IF(ISBLANK('Start Page'!AB22),"",IF(AND(ISBLANK(Worksheet!H77),Worksheet!Z77&lt;&gt;1),"",C94*Worksheet!H76*INDEX(Sheet1!B2:D4,MATCH('Start Page'!AB22,Sheet1!A2:A4,0),MATCH(Worksheet!J76,Sheet1!B1:D1,0)))))</f>
        <v>12324.892125</v>
      </c>
      <c r="E94" s="606">
        <f t="shared" si="0"/>
        <v>12324.892125</v>
      </c>
      <c r="F94" s="128"/>
    </row>
    <row r="95" spans="1:6">
      <c r="A95" s="935" t="s">
        <v>679</v>
      </c>
      <c r="B95" s="934"/>
      <c r="C95" s="936">
        <f>Worksheet!X50</f>
        <v>6.2921428571428351</v>
      </c>
      <c r="D95" s="937">
        <f>IF(Dashboard!BO$2&gt;0,"",IF(ISBLANK('Start Page'!AB22),"",IF(AND(ISBLANK(Worksheet!H77),Worksheet!Z77&lt;&gt;1),"",C95*Worksheet!H76*INDEX(Sheet1!B2:D4,MATCH('Start Page'!AB22,Sheet1!A2:A4,0),MATCH(Worksheet!J76,Sheet1!B1:D1,0)))))</f>
        <v>100611.36428571393</v>
      </c>
      <c r="E95" s="938">
        <f t="shared" si="0"/>
        <v>100611.36428571393</v>
      </c>
      <c r="F95" s="128"/>
    </row>
    <row r="96" spans="1:6">
      <c r="A96" s="935" t="s">
        <v>1271</v>
      </c>
      <c r="B96" s="934"/>
      <c r="C96" s="936">
        <f>Worksheet!Y50</f>
        <v>0.14051020408163239</v>
      </c>
      <c r="D96" s="937">
        <f>C96*input_VPC</f>
        <v>181.68390918367314</v>
      </c>
      <c r="E96" s="938">
        <f t="shared" si="0"/>
        <v>181.68390918367314</v>
      </c>
      <c r="F96" s="941" t="s">
        <v>1273</v>
      </c>
    </row>
    <row r="97" spans="1:7">
      <c r="A97" s="223" t="s">
        <v>680</v>
      </c>
      <c r="B97" s="46"/>
      <c r="C97" s="126">
        <f>IF(Dashboard!BO$2&gt;0,"",Worksheet!H39)</f>
        <v>0.77078749999999996</v>
      </c>
      <c r="D97" s="127">
        <f>IF(Dashboard!BO$2&gt;0,"",IF(ISBLANK('Start Page'!AB22),"",IF(AND(ISBLANK(Worksheet!H77),Worksheet!Z77&lt;&gt;1),"",C97*Worksheet!H76*INDEX(Sheet1!B2:D4,MATCH('Start Page'!AB22,Sheet1!A2:A4,0),MATCH(Worksheet!J76,Sheet1!B1:D1,0)))))</f>
        <v>12324.892125</v>
      </c>
      <c r="E97" s="606">
        <f t="shared" si="0"/>
        <v>12324.892125</v>
      </c>
      <c r="F97" s="128"/>
    </row>
    <row r="98" spans="1:7">
      <c r="A98" s="945" t="s">
        <v>42</v>
      </c>
      <c r="B98" s="945"/>
      <c r="C98" s="946">
        <f>IF(Dashboard!BO$2&gt;0,"",Worksheet!H46)</f>
        <v>7.9742280612244709</v>
      </c>
      <c r="D98" s="947">
        <f>IF(Dashboard!BO$2&gt;0,"",SUM(D94:D97))</f>
        <v>125442.83244489761</v>
      </c>
      <c r="E98" s="605">
        <f t="shared" si="0"/>
        <v>125442.83244489761</v>
      </c>
      <c r="F98"/>
    </row>
    <row r="99" spans="1:7">
      <c r="A99" s="54" t="str">
        <f>"Real Losses valued at "&amp;A76&amp;""</f>
        <v xml:space="preserve">Real Losses valued at </v>
      </c>
      <c r="B99" s="46"/>
      <c r="C99" s="126">
        <f>IF(Dashboard!BO$2&gt;0,"",Worksheet!H51)</f>
        <v>116.64619764158678</v>
      </c>
      <c r="D99" s="939">
        <f>IF(Dashboard!BO$2&gt;0,"",Dashboard!N50)</f>
        <v>150827.03293650094</v>
      </c>
      <c r="E99" s="606">
        <f t="shared" si="0"/>
        <v>150827.03293650094</v>
      </c>
      <c r="F99" s="605"/>
    </row>
    <row r="100" spans="1:7">
      <c r="A100" t="s">
        <v>72</v>
      </c>
      <c r="B100"/>
      <c r="C100" s="122">
        <f>IF(Dashboard!BO$2&gt;0,"",Worksheet!H57)</f>
        <v>141.46442570281124</v>
      </c>
      <c r="D100" s="124">
        <f>IF(Dashboard!BO$2&gt;0,"",D98+D99+D90+D91)</f>
        <v>298049.66270139854</v>
      </c>
      <c r="E100" s="605">
        <f t="shared" si="0"/>
        <v>298049.66270139854</v>
      </c>
      <c r="F100"/>
      <c r="G100" s="129"/>
    </row>
    <row r="101" spans="1:7">
      <c r="A101" s="942"/>
    </row>
    <row r="102" spans="1:7">
      <c r="A102" s="942" t="s">
        <v>1272</v>
      </c>
      <c r="C102" s="943">
        <f>C95+C96</f>
        <v>6.4326530612244675</v>
      </c>
      <c r="D102" s="129">
        <f>D95+D96</f>
        <v>100793.04819489761</v>
      </c>
      <c r="E102" s="129">
        <f>E95+E96</f>
        <v>100793.04819489761</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Clarion District 430</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37.326999999999998</v>
      </c>
      <c r="E10" s="1151"/>
      <c r="F10" s="1152"/>
      <c r="G10" s="1153"/>
      <c r="H10" s="352">
        <f>D10</f>
        <v>37.326999999999998</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308.315</v>
      </c>
      <c r="H12" s="362"/>
      <c r="I12" s="5"/>
      <c r="K12" s="898"/>
    </row>
    <row r="13" spans="2:16" ht="22.5" customHeight="1">
      <c r="B13" s="1133"/>
      <c r="C13" s="363"/>
      <c r="D13" s="360"/>
      <c r="E13" s="1142"/>
      <c r="F13" s="365">
        <f>Worksheet!H23+Worksheet!H24</f>
        <v>308.315</v>
      </c>
      <c r="G13" s="366" t="s">
        <v>1090</v>
      </c>
      <c r="H13" s="367">
        <f>SUM(G12+G14)</f>
        <v>308.315</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325.15899999999999</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6.8849999999999998</v>
      </c>
      <c r="H16" s="1141"/>
      <c r="I16" s="5"/>
      <c r="K16" s="46"/>
    </row>
    <row r="17" spans="2:16" ht="22.5" customHeight="1">
      <c r="B17" s="377">
        <f>Worksheet!AG15</f>
        <v>487.10642570281124</v>
      </c>
      <c r="C17" s="378"/>
      <c r="D17" s="379"/>
      <c r="E17" s="250"/>
      <c r="F17" s="380">
        <f>Worksheet!H25+Worksheet!H26</f>
        <v>16.844000000000001</v>
      </c>
      <c r="G17" s="364" t="s">
        <v>1092</v>
      </c>
      <c r="H17" s="362"/>
      <c r="I17" s="5"/>
      <c r="K17" s="46"/>
      <c r="L17" s="121"/>
      <c r="M17" s="121"/>
      <c r="N17" s="121"/>
      <c r="O17" s="121"/>
      <c r="P17" s="121"/>
    </row>
    <row r="18" spans="2:16" ht="15.75" customHeight="1">
      <c r="B18" s="375"/>
      <c r="C18" s="1154" t="s">
        <v>763</v>
      </c>
      <c r="D18" s="360"/>
      <c r="E18" s="381"/>
      <c r="F18" s="370"/>
      <c r="G18" s="382">
        <f>Worksheet!H26</f>
        <v>9.9589999999999996</v>
      </c>
      <c r="H18" s="362"/>
      <c r="I18" s="5"/>
      <c r="K18" s="46"/>
    </row>
    <row r="19" spans="2:16" ht="22.5" customHeight="1">
      <c r="B19" s="375"/>
      <c r="C19" s="1154"/>
      <c r="D19" s="383" t="s">
        <v>116</v>
      </c>
      <c r="E19" s="356"/>
      <c r="F19" s="384"/>
      <c r="G19" s="600" t="s">
        <v>695</v>
      </c>
      <c r="H19" s="385">
        <f>Worksheet!H25+Worksheet!H26+Worksheet!H46+Worksheet!H51</f>
        <v>141.46442570281124</v>
      </c>
      <c r="I19" s="5"/>
      <c r="K19" s="46"/>
      <c r="L19" s="121"/>
      <c r="M19" s="121"/>
      <c r="N19" s="121"/>
      <c r="O19" s="121"/>
      <c r="P19" s="121"/>
    </row>
    <row r="20" spans="2:16" ht="15.75" customHeight="1">
      <c r="B20" s="375"/>
      <c r="C20" s="386">
        <f>B17+B27</f>
        <v>487.10642570281124</v>
      </c>
      <c r="D20" s="360"/>
      <c r="E20" s="250"/>
      <c r="F20" s="387" t="s">
        <v>52</v>
      </c>
      <c r="G20" s="376">
        <f>Worksheet!H39</f>
        <v>0.77078749999999996</v>
      </c>
      <c r="H20" s="362"/>
      <c r="I20" s="5"/>
      <c r="K20" s="46"/>
    </row>
    <row r="21" spans="2:16" ht="14.25" customHeight="1">
      <c r="B21" s="388"/>
      <c r="C21" s="389"/>
      <c r="D21" s="386">
        <f>Worksheet!H19</f>
        <v>449.77942570281124</v>
      </c>
      <c r="E21" s="390"/>
      <c r="F21" s="380">
        <f>Worksheet!H46</f>
        <v>7.9742280612244709</v>
      </c>
      <c r="G21" s="364" t="s">
        <v>694</v>
      </c>
      <c r="H21" s="362"/>
      <c r="I21" s="5"/>
      <c r="K21" s="46"/>
      <c r="L21" s="121"/>
      <c r="M21" s="121"/>
      <c r="N21" s="121"/>
      <c r="O21" s="121"/>
      <c r="P21" s="121"/>
    </row>
    <row r="22" spans="2:16" ht="15.75" customHeight="1">
      <c r="B22" s="375"/>
      <c r="C22" s="359"/>
      <c r="D22" s="360"/>
      <c r="E22" s="250"/>
      <c r="F22" s="390"/>
      <c r="G22" s="391">
        <f>Worksheet!H41</f>
        <v>6.432653061224471</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0.77078749999999996</v>
      </c>
      <c r="H24" s="362"/>
      <c r="I24" s="5"/>
      <c r="K24" s="46"/>
    </row>
    <row r="25" spans="2:16" ht="26.25" customHeight="1">
      <c r="B25" s="1132" t="s">
        <v>1087</v>
      </c>
      <c r="C25" s="363"/>
      <c r="D25" s="360"/>
      <c r="E25" s="393">
        <f>Worksheet!H53</f>
        <v>124.62042570281125</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116.64619764158678</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5"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Clarion District 430</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32.3792907208624</v>
      </c>
      <c r="AF98" s="40">
        <f t="shared" ref="AF98:AF103" si="0">AE98</f>
        <v>32.3792907208624</v>
      </c>
      <c r="AG98" s="40">
        <f>IF(AE98&lt;&gt;0,AF98/10,0)</f>
        <v>3.2379290720862399</v>
      </c>
      <c r="AH98" s="40">
        <f>IFERROR(AD98*AG98,0)</f>
        <v>32.3792907208624</v>
      </c>
      <c r="AI98" s="40">
        <f t="shared" ref="AI98:AI117" si="1">IF(AG98=0,0,AF98-AH98)</f>
        <v>0</v>
      </c>
      <c r="AJ98">
        <f t="array" aca="1" ref="AJ98" ca="1">SUM(1*(AI98&lt;$AI$98:$AI$117))+1+IF(ROW(AI98)-ROW($AI$98)=0,0,SUM(1*(AI98=OFFSET($AI$98,0,0,INDEX(ROW(AI98)-ROW($AI$98)+1,1)-1,1))))</f>
        <v>5</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9</v>
      </c>
      <c r="AE99" s="64">
        <f>Worksheet!Z15</f>
        <v>0.12951716288344961</v>
      </c>
      <c r="AF99" s="40">
        <f t="shared" si="0"/>
        <v>0.12951716288344961</v>
      </c>
      <c r="AG99" s="40">
        <f t="shared" ref="AG99:AG117" si="3">IF(AE99&lt;&gt;0,AF99/10,0)</f>
        <v>1.2951716288344961E-2</v>
      </c>
      <c r="AH99" s="40">
        <f t="shared" ref="AH99:AH106" si="4">IFERROR(AD99*AG99,0)</f>
        <v>0.11656544659510465</v>
      </c>
      <c r="AI99" s="40">
        <f t="shared" si="1"/>
        <v>1.2951716288344961E-2</v>
      </c>
      <c r="AJ99">
        <f t="array" aca="1" ref="AJ99" ca="1">SUM(1*(AI99&lt;$AI$98:$AI$117))+1+IF(ROW(AI99)-ROW($AI$98)=0,0,SUM(1*(AI99=OFFSET($AI$98,0,0,INDEX(ROW(AI99)-ROW($AI$98)+1,1)-1,1))))</f>
        <v>4</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6</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7</v>
      </c>
      <c r="AK101" s="46" t="str">
        <f t="shared" si="5"/>
        <v>WI Error Adjustment (WIEA)</v>
      </c>
      <c r="AL101">
        <f t="shared" si="6"/>
        <v>0</v>
      </c>
      <c r="AM101">
        <f t="shared" si="7"/>
        <v>0</v>
      </c>
      <c r="AN101">
        <f t="shared" si="2"/>
        <v>0</v>
      </c>
    </row>
    <row r="102" spans="28:40">
      <c r="AC102" s="216" t="s">
        <v>703</v>
      </c>
      <c r="AD102" s="41">
        <f>IF(Worksheet!F17="n/a",0,Worksheet!F17)</f>
        <v>10</v>
      </c>
      <c r="AE102" s="64">
        <f>Worksheet!Y17</f>
        <v>2.4911921162541497</v>
      </c>
      <c r="AF102" s="40">
        <f t="shared" si="0"/>
        <v>2.4911921162541497</v>
      </c>
      <c r="AG102" s="40">
        <f t="shared" si="3"/>
        <v>0.24911921162541498</v>
      </c>
      <c r="AH102" s="40">
        <f t="shared" si="4"/>
        <v>2.4911921162541497</v>
      </c>
      <c r="AI102" s="40">
        <f t="shared" si="1"/>
        <v>0</v>
      </c>
      <c r="AJ102">
        <f t="array" aca="1" ref="AJ102" ca="1">SUM(1*(AI102&lt;$AI$98:$AI$117))+1+IF(ROW(AI102)-ROW($AI$98)=0,0,SUM(1*(AI102=OFFSET($AI$98,0,0,INDEX(ROW(AI102)-ROW($AI$98)+1,1)-1,1))))</f>
        <v>8</v>
      </c>
      <c r="AK102" s="46" t="str">
        <f t="shared" si="5"/>
        <v>Water Exported (WE)</v>
      </c>
      <c r="AL102">
        <f t="shared" si="6"/>
        <v>1</v>
      </c>
      <c r="AM102">
        <f t="shared" si="7"/>
        <v>1</v>
      </c>
      <c r="AN102">
        <f t="shared" si="2"/>
        <v>0</v>
      </c>
    </row>
    <row r="103" spans="28:40">
      <c r="AC103" s="220" t="s">
        <v>704</v>
      </c>
      <c r="AD103" s="65" t="str">
        <f>IF(Worksheet!M17="n/a",0,Worksheet!M17)</f>
        <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9</v>
      </c>
      <c r="AK103" s="85" t="str">
        <f t="shared" si="5"/>
        <v>WE Error Adjustment (WEEA)</v>
      </c>
      <c r="AL103">
        <f t="shared" si="6"/>
        <v>0</v>
      </c>
      <c r="AM103" s="68">
        <f t="shared" si="7"/>
        <v>0</v>
      </c>
      <c r="AN103" s="68">
        <f t="shared" si="2"/>
        <v>0</v>
      </c>
    </row>
    <row r="104" spans="28:40">
      <c r="AC104" s="217" t="s">
        <v>690</v>
      </c>
      <c r="AD104" s="73">
        <f>IF(Worksheet!F23="n/a",0,Worksheet!F23)</f>
        <v>10</v>
      </c>
      <c r="AE104" s="221">
        <f>IF(Worksheet!H23&gt;0,Worksheet!Y23,0)</f>
        <v>13.694194162436549</v>
      </c>
      <c r="AF104" s="75">
        <f t="shared" ref="AF104:AF117" si="8">AE104/$AE$120</f>
        <v>16.794766425629732</v>
      </c>
      <c r="AG104" s="75">
        <f t="shared" si="3"/>
        <v>1.6794766425629732</v>
      </c>
      <c r="AH104" s="75">
        <f t="shared" ref="AH104:AH117" si="9">AD104*AG104</f>
        <v>16.794766425629732</v>
      </c>
      <c r="AI104" s="75">
        <f t="shared" si="1"/>
        <v>0</v>
      </c>
      <c r="AJ104" s="76">
        <f t="array" aca="1" ref="AJ104" ca="1">SUM(1*(AI104&lt;$AI$98:$AI$117))+1+IF(ROW(AI104)-ROW($AI$98)=0,0,SUM(1*(AI104=OFFSET($AI$98,0,0,INDEX(ROW(AI104)-ROW($AI$98)+1,1)-1,1))))</f>
        <v>10</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11</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0.30580583756345175</v>
      </c>
      <c r="AF106" s="79">
        <f t="shared" si="8"/>
        <v>0.37504489512498801</v>
      </c>
      <c r="AG106" s="79">
        <f t="shared" si="3"/>
        <v>3.7504489512498802E-2</v>
      </c>
      <c r="AH106" s="40">
        <f t="shared" si="4"/>
        <v>0.37504489512498801</v>
      </c>
      <c r="AI106" s="79">
        <f t="shared" si="1"/>
        <v>0</v>
      </c>
      <c r="AJ106" s="80">
        <f t="array" aca="1" ref="AJ106" ca="1">SUM(1*(AI106&lt;$AI$98:$AI$117))+1+IF(ROW(AI106)-ROW($AI$98)=0,0,SUM(1*(AI106=OFFSET($AI$98,0,0,INDEX(ROW(AI106)-ROW($AI$98)+1,1)-1,1))))</f>
        <v>12</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3</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91.770067151636184</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16" t="s">
        <v>32</v>
      </c>
      <c r="D44" s="1218" t="s">
        <v>1219</v>
      </c>
      <c r="E44" s="1219"/>
      <c r="F44" s="1219"/>
      <c r="G44" s="1219"/>
      <c r="H44" s="1219"/>
      <c r="I44" s="1219"/>
      <c r="J44" s="1219"/>
      <c r="K44" s="1219"/>
      <c r="L44" s="1220"/>
      <c r="M44" s="419"/>
      <c r="N44" s="115"/>
    </row>
    <row r="45" spans="1:14" ht="13.5"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07" t="s">
        <v>1229</v>
      </c>
      <c r="E67" s="1208"/>
      <c r="F67" s="1208"/>
      <c r="G67" s="1208"/>
      <c r="H67" s="1208"/>
      <c r="I67" s="1208"/>
      <c r="J67" s="1208"/>
      <c r="K67" s="1208"/>
      <c r="L67" s="1209"/>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07" t="s">
        <v>1228</v>
      </c>
      <c r="E71" s="1208"/>
      <c r="F71" s="1208"/>
      <c r="G71" s="1208"/>
      <c r="H71" s="1208"/>
      <c r="I71" s="1208"/>
      <c r="J71" s="1208"/>
      <c r="K71" s="1208"/>
      <c r="L71" s="1209"/>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45"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5"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5"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5"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4999999999999"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5"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04C30B99-F38A-4A96-9BA5-A63D650F9B39}"/>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2025-03-04T13:09:54Z</cp:lastPrinted>
  <dcterms:created xsi:type="dcterms:W3CDTF">2004-11-04T17:59:53Z</dcterms:created>
  <dcterms:modified xsi:type="dcterms:W3CDTF">2026-03-05T14:38:21Z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