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6" documentId="13_ncr:1_{FA48BBB7-91EF-4FF1-827F-19C0AF35CCEA}" xr6:coauthVersionLast="47" xr6:coauthVersionMax="47" xr10:uidLastSave="{8DC04147-B8B4-4F69-9795-107C67F6A28D}"/>
  <workbookProtection workbookPassword="FDB7" lockStructure="1"/>
  <bookViews>
    <workbookView xWindow="-12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<sst xmlns="http://schemas.openxmlformats.org/spreadsheetml/2006/main" count="2541" uniqueCount="1284">
  <si>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</si>
  <si>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</si>
  <si>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</si>
  <si>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</si>
  <si>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</si>
  <si>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</si>
  <si>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</si>
  <si>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</si>
  <si>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</si>
  <si>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</si>
  <si>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</si>
  <si>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</si>
  <si>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</si>
  <si>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</si>
  <si>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</si>
  <si>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</si>
  <si>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</si>
  <si>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</si>
  <si>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</si>
  <si>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</si>
  <si>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</si>
  <si>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</si>
  <si>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</si>
  <si>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</si>
  <si>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</si>
  <si>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</si>
  <si>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</si>
  <si>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</si>
  <si>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</si>
  <si>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</si>
  <si>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</si>
  <si>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</si>
  <si>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</si>
  <si>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</si>
  <si>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</si>
  <si>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</si>
  <si>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</si>
  <si>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</si>
  <si>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</si>
  <si>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</si>
  <si>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</si>
  <si>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</si>
  <si>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</si>
  <si>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</si>
  <si>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</si>
  <si>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</si>
  <si>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</si>
  <si>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</si>
  <si>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</si>
  <si>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</si>
  <si>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</si>
  <si>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</si>
  <si>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</si>
  <si>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</si>
  <si>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</si>
  <si>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</si>
  <si>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</si>
  <si>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</si>
  <si>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</si>
  <si>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</si>
  <si>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</si>
  <si>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</si>
  <si>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</si>
  <si>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</si>
  <si>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</si>
  <si>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</si>
  <si>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</si>
  <si>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</si>
  <si>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</si>
  <si>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</si>
  <si>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</si>
  <si>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</si>
  <si>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</si>
  <si>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</si>
  <si>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</si>
  <si>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</si>
  <si>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</si>
  <si>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</si>
  <si>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</si>
  <si>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</si>
  <si>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</si>
  <si>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</si>
  <si>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</si>
  <si>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</si>
  <si>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</si>
  <si>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</si>
  <si>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</si>
  <si>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</si>
  <si>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</si>
  <si>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</si>
  <si>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</si>
  <si>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</si>
  <si>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</si>
  <si>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</si>
  <si>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</si>
  <si>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</si>
  <si>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</si>
  <si>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</si>
  <si>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</si>
  <si>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</si>
  <si>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</si>
  <si>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</si>
  <si>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</si>
  <si>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</si>
  <si>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</si>
  <si>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</si>
  <si>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</si>
  <si>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</si>
  <si>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</si>
  <si>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</si>
  <si>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</si>
  <si>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</si>
  <si>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</si>
  <si>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</si>
  <si>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</si>
  <si>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</si>
  <si>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</si>
  <si>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</si>
  <si>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</si>
  <si>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</si>
  <si>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</si>
  <si>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</si>
  <si>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</si>
  <si>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</si>
  <si>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</si>
  <si>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</si>
  <si>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</si>
  <si>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</si>
  <si>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</si>
  <si>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</si>
  <si>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</si>
  <si>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</si>
  <si>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</si>
  <si>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</si>
  <si>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</si>
  <si>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</si>
  <si>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</si>
  <si>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</si>
  <si>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</si>
  <si>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</si>
  <si>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</si>
  <si>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</si>
  <si>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</si>
  <si>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</si>
  <si>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</si>
  <si>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</si>
  <si>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</si>
  <si>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</si>
  <si>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</si>
  <si>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</si>
  <si>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</si>
  <si>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</si>
  <si>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</si>
  <si>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</si>
  <si>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</si>
  <si>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</si>
  <si>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</si>
  <si>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</si>
  <si>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</si>
  <si>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</si>
  <si>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</si>
  <si>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</si>
  <si>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</si>
  <si>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</si>
  <si>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</si>
  <si>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</si>
  <si>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</si>
  <si>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</si>
  <si>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</si>
  <si>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</si>
  <si>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</si>
  <si>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</si>
  <si>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</si>
  <si>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</si>
  <si>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</si>
  <si>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</si>
  <si>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</si>
  <si>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</si>
  <si>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</si>
  <si>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</si>
  <si>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</si>
  <si>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</si>
  <si>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</si>
  <si>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</si>
  <si>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</si>
  <si>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</si>
  <si>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</si>
  <si>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</si>
  <si>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</si>
  <si>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</si>
  <si>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</si>
  <si>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</si>
  <si>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</si>
  <si>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</si>
  <si>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</si>
  <si>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</si>
  <si>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</si>
  <si>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</si>
  <si>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</si>
  <si>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</si>
  <si>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</si>
  <si>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</si>
  <si>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</si>
  <si>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</si>
  <si>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</si>
  <si>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</si>
  <si>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</si>
  <si>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</si>
  <si>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</si>
  <si>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</si>
  <si>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</si>
  <si>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</si>
  <si>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</si>
  <si>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</si>
  <si>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</si>
  <si>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</si>
  <si>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</si>
  <si>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</si>
  <si>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</si>
  <si>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</si>
  <si>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</si>
  <si>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</si>
  <si>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</si>
  <si>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</si>
  <si>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</si>
  <si>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</si>
  <si>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</si>
  <si>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</si>
  <si>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</si>
  <si>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</si>
  <si>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</si>
  <si>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</si>
  <si>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</si>
  <si>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</si>
  <si>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</si>
  <si>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</si>
  <si>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</si>
  <si>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</si>
  <si>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</si>
  <si>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</si>
  <si>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</si>
  <si>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</si>
  <si>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</si>
  <si>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</si>
  <si>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</si>
  <si>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</si>
  <si>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</si>
  <si>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</si>
  <si>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</si>
  <si>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</si>
  <si>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</si>
  <si>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</si>
  <si>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</si>
  <si>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</si>
  <si>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</si>
  <si>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</si>
  <si>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</si>
  <si>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</si>
  <si>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</si>
  <si>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</si>
  <si>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</si>
  <si>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</si>
  <si>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</si>
  <si>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</si>
  <si>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</si>
  <si>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</si>
  <si>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</si>
  <si>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</si>
  <si>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</si>
  <si>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</si>
  <si>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</si>
  <si>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</si>
  <si>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</si>
  <si>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</si>
  <si>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</si>
  <si>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</si>
  <si>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</si>
  <si>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</si>
  <si>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</si>
  <si>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</si>
  <si>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</si>
  <si>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</si>
  <si>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</si>
  <si>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</si>
  <si>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</si>
  <si>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</si>
  <si>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</si>
  <si>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</si>
  <si>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</si>
  <si>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</si>
  <si>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</si>
  <si>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</si>
  <si>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</si>
  <si>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</si>
  <si>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</si>
  <si>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</si>
  <si>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</si>
  <si>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</si>
  <si>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</si>
  <si>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</si>
  <si>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</si>
  <si>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</si>
  <si>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</si>
  <si>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</si>
  <si>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</si>
  <si>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</si>
  <si>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</si>
  <si>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</si>
  <si>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</si>
  <si>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</si>
  <si>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</si>
  <si>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</si>
  <si>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</si>
  <si>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</si>
  <si>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</si>
  <si>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</si>
  <si>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</si>
  <si>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</si>
  <si>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</si>
  <si>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</si>
  <si>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</si>
  <si>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</si>
  <si>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</si>
  <si>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</si>
  <si>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</si>
  <si>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</si>
  <si>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</si>
  <si>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</si>
  <si>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</si>
  <si>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</si>
  <si>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</si>
  <si>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</si>
  <si>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</si>
  <si>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</si>
  <si>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</si>
  <si>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</si>
  <si>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</si>
  <si>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</si>
  <si>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</si>
  <si>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</si>
  <si>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</si>
  <si>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</si>
  <si>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</si>
  <si>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</si>
  <si>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</si>
  <si>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</si>
  <si>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</si>
  <si>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</si>
  <si>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</si>
  <si>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</si>
  <si>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</si>
  <si>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</si>
  <si>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</si>
  <si>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</si>
  <si>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</si>
  <si>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</si>
  <si>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</si>
  <si>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</si>
  <si>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</si>
  <si>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</si>
  <si>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</si>
  <si>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</si>
  <si>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</si>
  <si>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</si>
  <si>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</si>
  <si>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</si>
  <si>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</si>
  <si>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</si>
  <si>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</si>
  <si>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</si>
  <si>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</si>
  <si>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</si>
  <si>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</si>
  <si>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</si>
  <si>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</si>
  <si>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</si>
  <si>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</si>
  <si>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</si>
  <si>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</si>
  <si>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</si>
  <si>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</si>
  <si>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</si>
  <si>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</si>
  <si>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</si>
  <si>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</si>
  <si>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</si>
  <si>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</si>
  <si>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</si>
  <si>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</si>
  <si>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</si>
  <si>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</si>
  <si>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</si>
  <si>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</si>
  <si>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</si>
  <si>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</si>
  <si>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</si>
  <si>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</si>
  <si>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</si>
  <si>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</si>
  <si>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</si>
  <si>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</si>
  <si>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</si>
  <si>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</si>
  <si>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</si>
  <si>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</si>
  <si>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</si>
  <si>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</si>
  <si>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</si>
  <si>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</si>
  <si>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</si>
  <si>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</si>
  <si>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</si>
  <si>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</si>
  <si>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</si>
  <si>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</si>
  <si>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</si>
  <si>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</si>
  <si>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</si>
  <si>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</si>
  <si>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</si>
  <si>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</si>
  <si>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</si>
  <si>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</si>
  <si>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</si>
  <si>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</si>
  <si>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</si>
  <si>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</si>
  <si>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</si>
  <si>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</si>
  <si>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</si>
  <si>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</si>
  <si>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</si>
  <si>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</si>
  <si>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</si>
  <si>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</si>
  <si>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</si>
  <si>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</si>
  <si>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</si>
  <si>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</si>
  <si>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</si>
  <si>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</si>
  <si>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</si>
  <si>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</si>
  <si>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</si>
  <si>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</si>
  <si>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</si>
  <si>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</si>
  <si>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</si>
  <si>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</si>
  <si>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</si>
  <si>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</si>
  <si>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</si>
  <si>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</si>
  <si>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</si>
  <si>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</si>
  <si>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</si>
  <si>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</si>
  <si>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</si>
  <si>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</si>
  <si>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</si>
  <si>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</si>
  <si>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</si>
  <si>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</si>
  <si>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</si>
  <si>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</si>
  <si>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</si>
  <si>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</si>
  <si>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</si>
  <si>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</si>
  <si>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</si>
  <si>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</si>
  <si>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</si>
  <si>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</si>
  <si>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</si>
  <si>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</si>
  <si>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</si>
  <si>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</si>
  <si>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</si>
  <si>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</si>
  <si>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</si>
  <si>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</si>
  <si>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</si>
  <si>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</si>
  <si>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</si>
  <si>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</si>
  <si>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</si>
  <si>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</si>
  <si>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</si>
  <si>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</si>
  <si>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</si>
  <si>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</si>
  <si>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</si>
  <si>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</si>
  <si>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</si>
  <si>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</si>
  <si>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</si>
  <si>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</si>
  <si>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</si>
  <si>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</si>
  <si>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</si>
  <si>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</si>
  <si>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</si>
  <si>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</si>
  <si>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</si>
  <si>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</si>
  <si>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</si>
  <si>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</si>
  <si>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</si>
  <si>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</si>
  <si>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</si>
  <si>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</si>
  <si>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</si>
  <si>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</si>
  <si>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</si>
  <si>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</si>
  <si>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</si>
  <si>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</si>
  <si>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</si>
  <si>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</si>
  <si>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</si>
  <si>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</si>
  <si>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</si>
  <si>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</si>
  <si>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</si>
  <si>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</si>
  <si>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</si>
  <si>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</si>
  <si>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</si>
  <si>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</si>
  <si>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</si>
  <si>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</si>
  <si>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</si>
  <si>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</si>
  <si>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</si>
  <si>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</si>
  <si>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</si>
  <si>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</si>
  <si>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</si>
  <si>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</si>
  <si>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</si>
  <si>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</si>
  <si>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</si>
  <si>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</si>
  <si>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</si>
  <si>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</si>
  <si>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</si>
  <si>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</si>
  <si>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</si>
  <si>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</si>
  <si>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</si>
  <si>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</si>
  <si>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</si>
  <si>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</si>
  <si>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</si>
  <si>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</si>
  <si>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</si>
  <si>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</si>
  <si>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</si>
  <si>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</si>
  <si>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</si>
  <si>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</si>
  <si>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</si>
  <si>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</si>
  <si>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</si>
  <si>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</si>
  <si>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</si>
  <si>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</si>
  <si>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</si>
  <si>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</si>
  <si>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</si>
  <si>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</si>
  <si>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</si>
  <si>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</si>
  <si>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</si>
  <si>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</si>
  <si>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</si>
  <si>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</si>
  <si>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</si>
  <si>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</si>
  <si>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</si>
  <si>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</si>
  <si>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</si>
  <si>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</si>
  <si>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</si>
  <si>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</si>
  <si>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</si>
  <si>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</si>
  <si>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</si>
  <si>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</si>
  <si>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</si>
  <si>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</si>
  <si>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</si>
  <si>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</si>
  <si>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</si>
  <si>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</si>
  <si>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</si>
  <si>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</si>
  <si>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</si>
  <si>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</si>
  <si>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</si>
  <si>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</si>
  <si>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</si>
  <si>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</si>
  <si>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</si>
  <si>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</si>
  <si>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</si>
  <si>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</si>
  <si>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</si>
  <si>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</si>
  <si>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</si>
  <si>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</si>
  <si>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</si>
  <si>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</si>
  <si>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</si>
  <si>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</si>
  <si>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</si>
  <si>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</si>
  <si>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</si>
  <si>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</si>
  <si>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</si>
  <si>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</si>
  <si>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</si>
  <si>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</si>
  <si>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</si>
  <si>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</si>
  <si>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</si>
  <si>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</si>
  <si>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</si>
  <si>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</si>
  <si>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</si>
  <si>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</si>
  <si>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</si>
  <si>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</si>
  <si>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</si>
  <si>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</si>
  <si>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</si>
  <si>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</si>
  <si>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</si>
  <si>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</si>
  <si>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</si>
  <si>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</si>
  <si>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</si>
  <si>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</si>
  <si>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</si>
  <si>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</si>
  <si>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</si>
  <si>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</si>
  <si>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</si>
  <si>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</si>
  <si>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</si>
  <si>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</si>
  <si>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</si>
  <si>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</si>
  <si>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</si>
  <si>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</si>
  <si>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</si>
  <si>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</si>
  <si>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</si>
  <si>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</si>
  <si>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</si>
  <si>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</si>
  <si>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</si>
  <si>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</si>
  <si>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</si>
  <si>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</si>
  <si>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</si>
  <si>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</si>
  <si>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</si>
  <si>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</si>
  <si>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</si>
  <si>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</si>
  <si>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</si>
  <si>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</si>
  <si>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</si>
  <si>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</si>
  <si>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</si>
  <si>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</si>
  <si>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</si>
  <si>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</si>
  <si>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</si>
  <si>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</si>
  <si>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</si>
  <si>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</si>
  <si>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</si>
  <si>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</si>
  <si>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</si>
  <si>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</si>
  <si>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</si>
  <si>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</si>
  <si>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</si>
  <si>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</si>
  <si>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</si>
  <si>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</si>
  <si>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</si>
  <si>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</si>
  <si>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</si>
  <si>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</si>
  <si>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</si>
  <si>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</si>
  <si>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</si>
  <si>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</si>
  <si>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</si>
  <si>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</si>
  <si>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</si>
  <si>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</si>
  <si>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</si>
  <si>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</si>
  <si>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</si>
  <si>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</si>
  <si>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</si>
  <si>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</si>
  <si>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</si>
  <si>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</si>
  <si>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</si>
  <si>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</si>
  <si>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</si>
  <si>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</si>
  <si>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</si>
  <si>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</si>
  <si>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</si>
  <si>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</si>
  <si>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</si>
  <si>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</si>
  <si>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</si>
  <si>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</si>
  <si>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</si>
  <si>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</si>
  <si>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</si>
  <si>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</si>
  <si>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</si>
  <si>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</si>
  <si>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</si>
  <si>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</si>
  <si>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</si>
  <si>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</si>
  <si>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</si>
  <si>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</si>
  <si>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</si>
  <si>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</si>
  <si>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</si>
  <si>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</si>
  <si>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</si>
  <si>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</si>
  <si>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</si>
  <si>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</si>
  <si>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</si>
  <si>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</si>
  <si>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</si>
  <si>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</si>
  <si>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</si>
  <si>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</si>
  <si>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</si>
  <si>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</si>
  <si>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</si>
  <si>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</si>
  <si>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</si>
  <si>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</si>
  <si>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</si>
  <si>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</si>
  <si>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</si>
  <si>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</si>
  <si>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</si>
  <si>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</si>
  <si>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</si>
  <si>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</si>
  <si>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</si>
  <si>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</si>
  <si>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</si>
  <si>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</si>
  <si>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</si>
  <si>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</si>
  <si>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</si>
  <si>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</si>
  <si>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</si>
  <si>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</si>
  <si>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</si>
  <si>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</si>
  <si>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</si>
  <si>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</si>
  <si>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</si>
  <si>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</si>
  <si>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</si>
  <si>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</si>
  <si>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</si>
  <si>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</si>
  <si>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</si>
  <si>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</si>
  <si>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</si>
  <si>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</si>
  <si>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</si>
  <si>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</si>
  <si>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</si>
  <si>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</si>
  <si>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</si>
  <si>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</si>
  <si>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</si>
  <si>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</si>
  <si>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</si>
  <si>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</si>
  <si>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</si>
  <si>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</si>
  <si>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</si>
  <si>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</si>
  <si>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</si>
  <si>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</si>
  <si>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</si>
  <si>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</si>
  <si>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</si>
  <si>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</si>
  <si>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</si>
  <si>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</si>
  <si>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</si>
  <si>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</si>
  <si>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</si>
  <si>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</si>
  <si>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</si>
  <si>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</si>
  <si>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</si>
  <si>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</si>
  <si>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</si>
  <si>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</si>
  <si>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</si>
  <si>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</si>
  <si>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</si>
  <si>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</si>
  <si>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</si>
  <si>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</si>
  <si>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</si>
  <si>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</si>
  <si>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</si>
  <si>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</si>
  <si>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</si>
  <si>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</si>
  <si>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</si>
  <si>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</si>
  <si>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</si>
  <si>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</si>
  <si>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</si>
  <si>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</si>
  <si>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</si>
  <si>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</si>
  <si>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</si>
  <si>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</si>
  <si>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</si>
  <si>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</si>
  <si>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</si>
  <si>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</si>
  <si>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</si>
  <si>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</si>
  <si>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</si>
  <si>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</si>
  <si>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</si>
  <si>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</si>
  <si>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</si>
  <si>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</si>
  <si>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</si>
  <si>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</si>
  <si>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</si>
  <si>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</si>
  <si>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</si>
  <si>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</si>
  <si>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</si>
  <si>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</si>
  <si>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</si>
  <si>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</si>
  <si>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</si>
  <si>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</si>
  <si>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</si>
  <si>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</si>
  <si>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</si>
  <si>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</si>
  <si>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</si>
  <si>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</si>
  <si>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</si>
  <si>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</si>
  <si>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</si>
  <si>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</si>
  <si>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</si>
  <si>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</si>
  <si>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</si>
  <si>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</si>
  <si>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</si>
  <si>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</si>
  <si>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</si>
  <si>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</si>
  <si>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</si>
  <si>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</si>
  <si>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</si>
  <si>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</si>
  <si>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</si>
  <si>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</si>
  <si>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</si>
  <si>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</si>
  <si>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</si>
  <si>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</si>
  <si>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</si>
  <si>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</si>
  <si>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</si>
  <si>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</si>
  <si>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</si>
  <si>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</si>
  <si>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</si>
  <si>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</si>
  <si>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</si>
  <si>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</si>
  <si>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</si>
  <si>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</si>
  <si>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</si>
  <si>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</si>
  <si>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</si>
  <si>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</si>
  <si>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</si>
  <si>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</si>
  <si>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</si>
  <si>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</si>
  <si>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</si>
  <si>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</si>
  <si>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</si>
  <si>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</si>
  <si>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</si>
  <si>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</si>
  <si>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</si>
  <si>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</si>
  <si>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</si>
  <si>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</si>
  <si>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</si>
  <si>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</si>
  <si>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</si>
  <si>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</si>
  <si>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</si>
  <si>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</si>
  <si>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</si>
  <si>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</si>
  <si>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</si>
  <si>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</si>
  <si>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</si>
  <si>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</si>
  <si>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</si>
  <si>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</si>
  <si>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</si>
  <si>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</si>
  <si>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</si>
  <si>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</si>
  <si>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</si>
  <si>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</si>
  <si>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</si>
  <si>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</si>
  <si>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</si>
  <si>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</si>
  <si>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</si>
  <si>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</si>
  <si>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</si>
  <si>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</si>
  <si>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</si>
  <si>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</si>
  <si>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</si>
  <si>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</si>
  <si>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</si>
  <si>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</si>
  <si>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</si>
  <si>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</si>
  <si>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</si>
  <si>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</si>
  <si>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</si>
  <si>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</si>
  <si>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</si>
  <si>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</si>
  <si>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</si>
  <si>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</si>
  <si>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</si>
  <si>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</si>
  <si>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</si>
  <si>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</si>
  <si>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</si>
  <si>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</si>
  <si>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</si>
  <si>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</si>
  <si>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</si>
  <si>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</si>
  <si>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</si>
  <si>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</si>
  <si>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</si>
  <si>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</si>
  <si>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</si>
  <si>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</si>
  <si>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</si>
  <si>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</si>
  <si>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</si>
  <si>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</si>
  <si>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</si>
  <si>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</si>
  <si>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</si>
  <si>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</si>
  <si>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</si>
  <si>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</si>
  <si>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</si>
  <si>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</si>
  <si>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</si>
  <si>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</si>
  <si>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</si>
  <si>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</si>
  <si>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</si>
  <si>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</si>
  <si>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</si>
  <si>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</si>
  <si>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</si>
  <si>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</si>
  <si>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</si>
  <si>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</si>
  <si>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</si>
  <si>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</si>
  <si>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</si>
  <si>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</si>
  <si>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</si>
  <si>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</si>
  <si>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</si>
  <si>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</si>
  <si>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</si>
  <si>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</si>
  <si>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</si>
  <si>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</si>
  <si>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</si>
  <si>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</si>
  <si>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</si>
  <si>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</si>
  <si>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</si>
  <si>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</si>
  <si>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</si>
  <si>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</si>
  <si>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</si>
  <si>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</si>
  <si>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</si>
  <si>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</si>
  <si>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</si>
  <si>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</si>
  <si>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</si>
  <si>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</si>
  <si>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</si>
  <si>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</si>
  <si>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</si>
  <si>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</si>
  <si>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</si>
  <si>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</si>
  <si>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</si>
  <si>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</si>
  <si>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</si>
  <si>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</si>
  <si>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</si>
  <si>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</si>
  <si>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</si>
  <si>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</si>
  <si>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</si>
  <si>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</si>
  <si>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</si>
  <si>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</si>
  <si>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</si>
  <si>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</si>
  <si>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</si>
  <si>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</si>
  <si>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</si>
  <si>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</si>
  <si>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</si>
  <si>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</si>
  <si>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</si>
  <si>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</si>
  <si>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</si>
  <si>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</si>
  <si>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</si>
  <si>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</si>
  <si>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</si>
  <si>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</si>
  <si>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</si>
  <si>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</si>
  <si>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</si>
  <si>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</si>
  <si>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</si>
  <si>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</si>
  <si>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</si>
  <si>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</si>
  <si>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</si>
  <si>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</si>
  <si>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</si>
  <si>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</si>
  <si>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</si>
  <si>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</si>
  <si>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</si>
  <si>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</si>
  <si>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</si>
  <si>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</si>
  <si>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</si>
  <si>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</si>
  <si>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</si>
  <si>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</si>
  <si>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</si>
  <si>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</si>
  <si>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</si>
  <si>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</si>
  <si>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</si>
  <si>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</si>
  <si>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</si>
  <si>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</si>
  <si>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</si>
  <si>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</si>
  <si>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</si>
  <si>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</si>
  <si>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</si>
  <si>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</si>
  <si>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</si>
  <si>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</si>
  <si>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</si>
  <si>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</si>
  <si>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</si>
  <si>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</si>
  <si>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</si>
  <si>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</si>
  <si>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</si>
  <si>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</si>
  <si>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</si>
  <si>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</si>
  <si>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</si>
  <si>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</si>
  <si>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</si>
  <si>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</si>
  <si>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</si>
  <si>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</si>
  <si>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</si>
  <si>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</si>
  <si>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</si>
  <si>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</si>
  <si>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</si>
  <si>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</si>
  <si>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</si>
  <si>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</si>
  <si>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</si>
  <si>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</si>
  <si>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</si>
  <si>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</si>
  <si>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</si>
  <si>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</si>
  <si>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</si>
  <si>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</si>
  <si>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</si>
  <si>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</si>
  <si>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</si>
  <si>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</si>
  <si>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</si>
  <si>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</si>
  <si>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</si>
  <si>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</si>
  <si>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</si>
  <si>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</si>
  <si>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</si>
  <si>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</si>
  <si>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</si>
  <si>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</si>
  <si>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</si>
  <si>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</si>
  <si>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</si>
  <si>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</si>
  <si>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</si>
  <si>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</si>
  <si>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</si>
  <si>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</si>
  <si>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</si>
  <si>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</si>
  <si>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</si>
  <si>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</si>
  <si>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</si>
  <si>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</si>
  <si>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</si>
  <si>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</si>
  <si>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</si>
  <si>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</si>
  <si>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</si>
  <si>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</si>
  <si>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</si>
  <si>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</si>
  <si>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</si>
  <si>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</si>
  <si>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</si>
  <si>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</si>
  <si>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</si>
  <si>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</si>
  <si>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</si>
  <si>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</si>
  <si>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</si>
  <si>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</si>
  <si>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</si>
  <si>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</si>
  <si>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</si>
  <si>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</si>
  <si>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</si>
  <si>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</si>
  <si>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</si>
  <si>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</si>
  <si>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</si>
  <si>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</si>
  <si>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</si>
  <si>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</si>
  <si>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</si>
  <si>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</si>
  <si>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</si>
  <si>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</si>
  <si>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</si>
  <si>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</si>
  <si>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</si>
  <si>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</si>
  <si>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</si>
  <si>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</si>
  <si>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</si>
  <si>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</si>
  <si>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</si>
  <si>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</si>
  <si>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</si>
  <si>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</si>
  <si>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</si>
  <si>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</si>
  <si>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</si>
  <si>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</si>
  <si>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</si>
  <si>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</si>
  <si>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</si>
  <si>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</si>
  <si>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</si>
  <si>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</si>
  <si>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</si>
  <si>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</si>
  <si>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</si>
  <si>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</si>
  <si>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</si>
  <si>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</si>
  <si>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</si>
  <si>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</si>
  <si>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</si>
  <si>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</si>
  <si>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</si>
  <si>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</si>
  <si>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</si>
  <si>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</si>
  <si>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</si>
  <si>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</si>
  <si>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</si>
  <si>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</si>
  <si>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</si>
  <si>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</si>
  <si>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</si>
  <si>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</si>
  <si>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</si>
  <si>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</si>
  <si>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</si>
  <si>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</si>
  <si>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</si>
  <si>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</si>
  <si>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</si>
  <si>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</si>
  <si>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</si>
  <si>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</si>
  <si>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</si>
  <si>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</si>
  <si>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</si>
  <si>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</si>
  <si>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</si>
  <si>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</si>
  <si>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</si>
  <si>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</si>
  <si>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</si>
  <si>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</si>
  <si>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</si>
  <si>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</si>
  <si>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</si>
  <si>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</si>
  <si>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</si>
  <si>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</si>
  <si>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</si>
  <si>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</si>
  <si>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Warren District 450</t>
  </si>
  <si>
    <t>David Annarumo</t>
  </si>
  <si>
    <t>david.annarumo@amwater.com</t>
  </si>
  <si>
    <t>Warren</t>
  </si>
  <si>
    <t>USA</t>
  </si>
  <si>
    <t>Calendar</t>
  </si>
  <si>
    <t>6620020</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</si>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</sst>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64.50393943377324</c:v>
                </c:pt>
                <c:pt idx="1">
                  <c:v>2.0024160337996988</c:v>
                </c:pt>
                <c:pt idx="2">
                  <c:v>183.79564875738939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5.2733358956424192</c:v>
                </c:pt>
                <c:pt idx="1">
                  <c:v>0.26113598867139654</c:v>
                </c:pt>
                <c:pt idx="2">
                  <c:v>27.107526699610752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35.8202410446643</c:v>
                </c:pt>
                <c:pt idx="1">
                  <c:v>0.92482240795754933</c:v>
                </c:pt>
                <c:pt idx="2">
                  <c:v>78.857737542071817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5.0776945263452857</c:v>
                </c:pt>
                <c:pt idx="1">
                  <c:v>0.56875750335916142</c:v>
                </c:pt>
                <c:pt idx="2">
                  <c:v>65.44823589019073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164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0.625</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26.65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1.10229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9.0110408163265312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1.10229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125.97490528809121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$215,131/Yr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146.79374999999999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6259.2855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17625.617099999999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143885.5843622449</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17625.617099999999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29587.726005013981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32.165808526427512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2.699127264835151</c:v>
                </c:pt>
                <c:pt idx="1">
                  <c:v>9.0856271993300333E-2</c:v>
                </c:pt>
                <c:pt idx="2">
                  <c:v>8.5670504623340911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59.230603538130815</c:v>
                </c:pt>
                <c:pt idx="1">
                  <c:v>1.8469276802355887</c:v>
                </c:pt>
                <c:pt idx="2">
                  <c:v>169.78842881108218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3948.9328011062726</c:v>
                </c:pt>
                <c:pt idx="1">
                  <c:v>97.186039594358903</c:v>
                </c:pt>
                <c:pt idx="2" formatCode="_(* #,##0_);_(* \(#,##0\);_(* &quot;-&quot;??_);_(@_)">
                  <c:v>8102.1361085942299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image" Target="../media/image8.emf"/><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48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48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48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48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487"/>
                  </a:ext>
                </a:extLst>
              </xdr:cNvPicPr>
            </xdr:nvPicPr>
            <xdr:blipFill rotWithShape="1">
              <a:blip xmlns:r="http://schemas.openxmlformats.org/officeDocument/2006/relationships" r:embed="rId7"/>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48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489"/>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490"/>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49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492"/>
                  </a:ext>
                </a:extLst>
              </xdr:cNvPicPr>
            </xdr:nvPicPr>
            <xdr:blipFill rotWithShape="1">
              <a:blip xmlns:r="http://schemas.openxmlformats.org/officeDocument/2006/relationships" r:embed="rId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493"/>
                  </a:ext>
                </a:extLst>
              </xdr:cNvPicPr>
            </xdr:nvPicPr>
            <xdr:blipFill rotWithShape="1">
              <a:blip xmlns:r="http://schemas.openxmlformats.org/officeDocument/2006/relationships" r:embed="rId1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9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95"/>
                  </a:ext>
                </a:extLst>
              </xdr:cNvPicPr>
            </xdr:nvPicPr>
            <xdr:blipFill rotWithShape="1">
              <a:blip xmlns:r="http://schemas.openxmlformats.org/officeDocument/2006/relationships" r:embed="rId7"/>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96"/>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97"/>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98"/>
                  </a:ext>
                </a:extLst>
              </xdr:cNvPicPr>
            </xdr:nvPicPr>
            <xdr:blipFill rotWithShape="1">
              <a:blip xmlns:r="http://schemas.openxmlformats.org/officeDocument/2006/relationships" r:embed="rId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99"/>
                  </a:ext>
                </a:extLst>
              </xdr:cNvPicPr>
            </xdr:nvPicPr>
            <xdr:blipFill rotWithShape="1">
              <a:blip xmlns:r="http://schemas.openxmlformats.org/officeDocument/2006/relationships" r:embed="rId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500"/>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501"/>
                  </a:ext>
                </a:extLst>
              </xdr:cNvPicPr>
            </xdr:nvPicPr>
            <xdr:blipFill rotWithShape="1">
              <a:blip xmlns:r="http://schemas.openxmlformats.org/officeDocument/2006/relationships" r:embed="rId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44"/>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24" sqref="BF24"/>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5"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5"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5"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5"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5"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899999999999999"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5"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5"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1283</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5"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1278</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1279</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46107</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1280</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1281</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1282</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1282</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5423</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5"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5"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5"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5"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5"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5"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5"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5"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T62" sqref="T62"/>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Warren District 450</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602.96</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4.0000000000000001E-3</v>
      </c>
      <c r="P15" s="580" t="s">
        <v>787</v>
      </c>
      <c r="Q15" s="1033"/>
      <c r="R15" s="1038"/>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2.4118400000000002</v>
      </c>
      <c r="Y15" s="103">
        <f>$Y$19/$Y$18*H15</f>
        <v>34.860557768924302</v>
      </c>
      <c r="Z15" s="147">
        <f>$Y$19/$Y$18*ABS(X15)</f>
        <v>0.13944223107569723</v>
      </c>
      <c r="AA15" s="896">
        <f>IF(W15=1,input_VOS-input_VOS/(1+O15*AB15),Q15*AB15)</f>
        <v>-2.4215261044176941</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605.38152610441773</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605.37184000000002</v>
      </c>
      <c r="Z18" s="148"/>
      <c r="AF18" s="264">
        <f>SUM(AF15:AF17)</f>
        <v>0</v>
      </c>
      <c r="AG18" s="46" t="s">
        <v>1199</v>
      </c>
    </row>
    <row r="19" spans="1:33" ht="13.5" thickBot="1">
      <c r="A19" s="91"/>
      <c r="B19" s="561"/>
      <c r="C19" s="1074" t="s">
        <v>109</v>
      </c>
      <c r="D19" s="1074"/>
      <c r="E19" s="1074"/>
      <c r="F19" s="1074"/>
      <c r="G19" s="265"/>
      <c r="H19" s="868">
        <f>IF(AF18&gt;0,"Select under/over",IF(H15&gt;0,IF(W15=1,H15/(1+O15*AB15),H15-Q15*AB15),0)+IF(H16&gt;0,IF(W16=1,H16/(1+O16*AB16),H16-Q16*AB16),0)-IF(H17&gt;0,IF(W17=1,H17/(1+O17*AB17),H17-Q17*AB17),0))</f>
        <v>605.38152610441773</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10</v>
      </c>
      <c r="G23" s="94"/>
      <c r="H23" s="321">
        <v>440.916</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13.980183040759522</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1.9816959240478233E-2</v>
      </c>
      <c r="Z24" s="146"/>
    </row>
    <row r="25" spans="1:33" ht="13.35" customHeight="1">
      <c r="A25" s="91"/>
      <c r="B25" s="562" t="s">
        <v>919</v>
      </c>
      <c r="C25" s="529" t="s">
        <v>483</v>
      </c>
      <c r="D25" s="841" t="s">
        <v>881</v>
      </c>
      <c r="E25" s="577" t="s">
        <v>882</v>
      </c>
      <c r="F25" s="492">
        <f>'Interactive Data Grading'!D224</f>
        <v>10</v>
      </c>
      <c r="G25" s="94"/>
      <c r="H25" s="501">
        <v>0.625</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441.541</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26.65</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26.65</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468.19099999999997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137.19052610441776</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1.10229</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1033"/>
      <c r="R39" s="103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9.0110408163265561</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1.10229</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1033"/>
      <c r="R43" s="1033"/>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11.215620816326556</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8.9982857142857142</v>
      </c>
      <c r="Y50" s="135">
        <f>IFERROR(IF(W41=1,((H25)/(1-(O41*X41)))-(H25),Q41*H25/(H23+H25)),0)</f>
        <v>1.2755102040816313E-2</v>
      </c>
      <c r="Z50" s="923">
        <f>SUM(X50:Y50)</f>
        <v>9.0110408163265312</v>
      </c>
      <c r="AA50" s="1070"/>
      <c r="AB50" s="1070"/>
      <c r="AC50" s="1070"/>
    </row>
    <row r="51" spans="1:29">
      <c r="A51" s="91"/>
      <c r="B51" s="562"/>
      <c r="C51" s="1050" t="s">
        <v>662</v>
      </c>
      <c r="D51" s="1050"/>
      <c r="E51" s="1050"/>
      <c r="F51" s="1050"/>
      <c r="G51" s="869"/>
      <c r="H51" s="868">
        <f>IFERROR(H35-H46,"")</f>
        <v>125.97490528809121</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143882.58857142858</v>
      </c>
      <c r="Y51" s="940">
        <f>Y50*input_VPC</f>
        <v>2.9957908163265277</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137.19052610441776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164.46552610441776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87.4</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5827</v>
      </c>
      <c r="I62" s="291"/>
      <c r="J62" s="292"/>
      <c r="K62" s="101"/>
      <c r="L62" s="101"/>
      <c r="M62" s="292" t="s">
        <v>902</v>
      </c>
      <c r="N62" s="101"/>
      <c r="U62" s="256"/>
      <c r="V62" s="91"/>
    </row>
    <row r="63" spans="1:29">
      <c r="A63" s="91"/>
      <c r="B63" s="562"/>
      <c r="C63" s="529" t="s">
        <v>165</v>
      </c>
      <c r="D63" s="53"/>
      <c r="E63" s="512"/>
      <c r="F63" s="273"/>
      <c r="G63" s="53"/>
      <c r="H63" s="500">
        <f>IF(ISERROR(H62/H61),"",H62/H61)</f>
        <v>66.670480549199084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20.100000000000001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20.100000000000001</v>
      </c>
      <c r="X67" s="54" t="s">
        <v>130</v>
      </c>
      <c r="Y67" s="54"/>
      <c r="Z67" s="54"/>
    </row>
    <row r="68" spans="1:26">
      <c r="A68" s="91"/>
      <c r="B68" s="562" t="s">
        <v>915</v>
      </c>
      <c r="C68" s="529" t="s">
        <v>487</v>
      </c>
      <c r="D68" s="841" t="s">
        <v>881</v>
      </c>
      <c r="E68" s="577" t="s">
        <v>882</v>
      </c>
      <c r="F68" s="492">
        <f>'Interactive Data Grading'!D422</f>
        <v>10</v>
      </c>
      <c r="G68" s="53"/>
      <c r="H68" s="325">
        <v>84.5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234.87</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2153732</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Warren District 450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45"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149999999999999"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899999999999999"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15"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6"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Warren District 450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result is above 90th %ile</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35.8202410446643</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35.8202410446643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35.8202410446643</v>
      </c>
      <c r="AB18" s="1100"/>
      <c r="AC18" s="1100"/>
      <c r="AD18" s="871" t="str">
        <f>BD13</f>
        <v>$/conn/year</v>
      </c>
      <c r="AE18" s="872"/>
      <c r="AF18" s="873"/>
      <c r="AG18" s="873"/>
      <c r="AH18" s="874"/>
      <c r="AI18" s="874"/>
      <c r="AJ18" s="872"/>
      <c r="AK18" s="1100">
        <f>BS22</f>
        <v>30.742546518319017</v>
      </c>
      <c r="AL18" s="1100"/>
      <c r="AM18" s="1100"/>
      <c r="AN18" s="871" t="str">
        <f>BD13</f>
        <v>$/conn/year</v>
      </c>
      <c r="AO18" s="872"/>
      <c r="AP18" s="872"/>
      <c r="AQ18" s="872"/>
      <c r="AR18" s="872"/>
      <c r="AS18" s="872"/>
      <c r="AT18" s="872"/>
      <c r="AU18" s="1100">
        <f>BS29</f>
        <v>5.0776945263452857</v>
      </c>
      <c r="AV18" s="1100"/>
      <c r="AW18" s="1100"/>
      <c r="AX18" s="871" t="str">
        <f>BD13</f>
        <v>$/conn/year</v>
      </c>
      <c r="AY18" s="701"/>
      <c r="AZ18" s="247"/>
      <c r="BA18" s="247"/>
      <c r="BB18" s="342"/>
      <c r="BC18" s="109"/>
      <c r="BD18" s="58" t="s">
        <v>706</v>
      </c>
      <c r="BE18" s="234">
        <f>(((5.41*Worksheet!H61)+(0.15*Worksheet!H62)+(7.5*(Worksheet!H62*Worksheet!W67/5280)))*Worksheet!H68)/1000000*365</f>
        <v>46.672458512542612</v>
      </c>
      <c r="BN18" s="659"/>
      <c r="BO18" s="716" t="s">
        <v>1039</v>
      </c>
      <c r="BP18" s="718">
        <f>BQ18-BQ17</f>
        <v>8.9525318444022357</v>
      </c>
      <c r="BQ18" s="900">
        <f t="shared" si="0"/>
        <v>18.283980813778896</v>
      </c>
      <c r="BR18" s="716" t="s">
        <v>779</v>
      </c>
      <c r="BS18" s="720">
        <f>SUM(BP16:BP20)-SUM(BS16,BS17)</f>
        <v>78.857737542071817</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143.23232802009608</v>
      </c>
      <c r="BF19" s="233">
        <f>BE19*325851.427242/Worksheet!H62/365</f>
        <v>21.944353758268718</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282.60574086874999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30.742546518319017</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64.50393943377324</v>
      </c>
      <c r="AB29" s="1104"/>
      <c r="AC29" s="1104"/>
      <c r="AD29" s="870" t="str">
        <f>BD10</f>
        <v>gal/conn/day</v>
      </c>
      <c r="AE29" s="870"/>
      <c r="AF29" s="875"/>
      <c r="AG29" s="875"/>
      <c r="AH29" s="700"/>
      <c r="AI29" s="700"/>
      <c r="AJ29" s="700"/>
      <c r="AK29" s="1104">
        <f>BS43</f>
        <v>5.2733358956424192</v>
      </c>
      <c r="AL29" s="1104"/>
      <c r="AM29" s="1104"/>
      <c r="AN29" s="871" t="str">
        <f>BD10</f>
        <v>gal/conn/day</v>
      </c>
      <c r="AO29" s="700"/>
      <c r="AP29" s="700"/>
      <c r="AQ29" s="700"/>
      <c r="AR29" s="700"/>
      <c r="AS29" s="700"/>
      <c r="AT29" s="700"/>
      <c r="AU29" s="1110">
        <f>BS55</f>
        <v>59.230603538130815</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5.0776945263452857</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5.0776945263452857</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84.5</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65.44823589019073</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64.50393943377324</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64.50393943377324</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183.79564875738939</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2.699127264835151</v>
      </c>
      <c r="AI41" s="1109"/>
      <c r="AJ41" s="1109"/>
      <c r="AK41" s="870" t="s">
        <v>1048</v>
      </c>
      <c r="AL41" s="799"/>
      <c r="AM41" s="800"/>
      <c r="AN41" s="796"/>
      <c r="AO41" s="796"/>
      <c r="AP41" s="796"/>
      <c r="AQ41" s="796"/>
      <c r="AR41" s="796"/>
      <c r="AS41" s="1108">
        <f>BS69</f>
        <v>3948.9328011062726</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46.672458512542612</v>
      </c>
      <c r="AL43" s="1106"/>
      <c r="AM43" s="1106"/>
      <c r="AN43" s="1106"/>
      <c r="AO43" s="916" t="str">
        <f>BD7</f>
        <v>MG/Yr</v>
      </c>
      <c r="AP43" s="700"/>
      <c r="AQ43" s="700"/>
      <c r="AR43" s="700"/>
      <c r="AS43" s="1106">
        <f>IF(BG19=1,BF19,IFERROR(AK43*1000000/Worksheet!H62/365,""))</f>
        <v>21.944353758268718</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5.2733358956424192</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5.2733358956424192</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27.107526699610752</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11.215620816326556</v>
      </c>
      <c r="J49" s="1115"/>
      <c r="K49" s="1115"/>
      <c r="L49" s="1115"/>
      <c r="M49" s="683"/>
      <c r="N49" s="1116">
        <f>IF(OR(ISBLANK('Start Page'!$AB$22),ISBLANK(Worksheet!J76)),"",(SUM(Worksheet!H43+Worksheet!H39+Worksheet!X50)*Worksheet!H76)*INDEX(Sheet1!B2:D4,MATCH('Start Page'!AB22,Sheet1!A2:A4,0),MATCH(Worksheet!J76,Sheet1!B1:D1,0))+Worksheet!Y50*Worksheet!H77)</f>
        <v>179136.81856224491</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125.97490528809121</v>
      </c>
      <c r="J50" s="1115"/>
      <c r="K50" s="1115"/>
      <c r="L50" s="1115"/>
      <c r="M50" s="683"/>
      <c r="N50" s="1116">
        <f>IFERROR(IF(Worksheet!H41="Select under/over","",IF(ISBLANK('Start Page'!AB22),"",Worksheet!H51*(IF(BD29=FALSE,Worksheet!H77,IF(BD29=TRUE,Worksheet!H76*INDEX(Sheet1!B2:D4,MATCH('Start Page'!AB22,Sheet1!A2:A4,0),MATCH(Worksheet!J76,Sheet1!B1:D1,0)),""))))),"")</f>
        <v>29587.726005013981</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27.274999999999999</v>
      </c>
      <c r="J51" s="1115"/>
      <c r="K51" s="1115"/>
      <c r="L51" s="1115"/>
      <c r="M51" s="683"/>
      <c r="N51" s="1116">
        <f>IFERROR(IF(SUM(Sheet1!D90:D91)=0,"",SUM(Sheet1!D90:D91)),"")</f>
        <v>6406.0792499999998</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164.46552610441776</v>
      </c>
      <c r="J52" s="1115"/>
      <c r="K52" s="1115"/>
      <c r="L52" s="1115"/>
      <c r="M52" s="683"/>
      <c r="N52" s="1116">
        <f>IF(SUM(N49:N51)=0,"",SUM(N49:N51))</f>
        <v>215130.62381725889</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59.230603538130815</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59.230603538130815</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169.78842881108218</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2.699127264835151</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2.699127264835151</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8.5670504623340911</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3948.9328011062726</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3948.9328011062726</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8102.1361085942299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32.165808526427512</v>
      </c>
      <c r="BQ83" s="733">
        <f>BP83+BQ78</f>
        <v>84.5</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Warren District 450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164 MG/Yr</v>
      </c>
    </row>
    <row r="79" spans="1:6" ht="16.5">
      <c r="B79" s="52"/>
      <c r="C79" s="52"/>
      <c r="D79" s="52"/>
      <c r="E79" s="9" t="str">
        <f>IFERROR("Total Cost of NRW = $"&amp;TEXT(SUM(D90,D91,D94,D95,D96,D97,D99),"#,###")&amp;"/Yr","")</f>
        <v>Total Cost of NRW = $215,131/Yr</v>
      </c>
      <c r="F79" s="52"/>
    </row>
    <row r="80" spans="1:6">
      <c r="A80"/>
      <c r="B80"/>
      <c r="C80" s="53" t="str">
        <f>"Volume ("&amp;Worksheet!J15&amp;")"</f>
        <v>Volume (MG/Yr)</v>
      </c>
      <c r="D80" s="53" t="s">
        <v>147</v>
      </c>
      <c r="E80" s="94" t="s">
        <v>1085</v>
      </c>
      <c r="F80"/>
    </row>
    <row r="81" spans="1:6">
      <c r="A81" s="46" t="s">
        <v>127</v>
      </c>
      <c r="B81" s="46"/>
      <c r="C81" s="122">
        <f>IF(Dashboard!BO$2&gt;0,"",Worksheet!H15)</f>
        <v>602.96</v>
      </c>
      <c r="D81" s="123">
        <f>IF(Dashboard!BO$2&gt;0,"",C81*(Worksheet!$H$77))</f>
        <v>141617.21520000001</v>
      </c>
      <c r="E81" s="605">
        <f>D81</f>
        <v>141617.21520000001</v>
      </c>
      <c r="F81" s="84" t="s">
        <v>1084</v>
      </c>
    </row>
    <row r="82" spans="1:6">
      <c r="A82" s="46" t="str">
        <f>A81&amp;" MA"</f>
        <v>Vol. from own sources: MA</v>
      </c>
      <c r="B82" s="46"/>
      <c r="C82" s="122">
        <f>IF(Dashboard!BO$2&gt;0,"",Worksheet!X15)</f>
        <v>2.4118400000000002</v>
      </c>
      <c r="D82" s="123">
        <f>IF(Dashboard!BO$2&gt;0,"",C82*(Worksheet!$H$77))</f>
        <v>566.46886080000002</v>
      </c>
      <c r="E82" s="605">
        <f t="shared" ref="E82:E100" si="0">D82</f>
        <v>566.46886080000002</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605.38152610441773</v>
      </c>
      <c r="D87" s="123">
        <f>IF(Dashboard!BO$2&gt;0,"",C87*(Worksheet!$H$77))</f>
        <v>142185.9590361446</v>
      </c>
      <c r="E87" s="605">
        <f t="shared" si="0"/>
        <v>142185.9590361446</v>
      </c>
      <c r="F87"/>
    </row>
    <row r="88" spans="1:6">
      <c r="A88" s="158" t="s">
        <v>1269</v>
      </c>
      <c r="B88"/>
      <c r="C88" s="122">
        <f>IF(Dashboard!BO$2&gt;0,"",Worksheet!H23)</f>
        <v>440.916</v>
      </c>
      <c r="D88" s="123">
        <f>IF(Dashboard!BO$2&gt;0,"",C88*(Worksheet!$H$76*1000))</f>
        <v>7050246.8399999999</v>
      </c>
      <c r="E88" s="605">
        <f t="shared" si="0"/>
        <v>7050246.8399999999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0.625</v>
      </c>
      <c r="D90" s="951">
        <f>IF(Dashboard!BO$2&gt;0,"",IF(ISBLANK('Start Page'!AB22),"",IF(AND(ISBLANK(Worksheet!H77),Worksheet!Z77&lt;&gt;1),"",Worksheet!H25*(IF(Dashboard!BD29=FALSE,Worksheet!H77,IF(Dashboard!BD29=TRUE,Worksheet!H76*INDEX(Sheet1!B2:D4,MATCH('Start Page'!AB22,Sheet1!A2:A4,0),MATCH(Worksheet!J76,Sheet1!B1:D1,0)),""))))))</f>
        <v>146.79374999999999</v>
      </c>
      <c r="E90" s="952">
        <f t="shared" si="0"/>
        <v>146.79374999999999</v>
      </c>
      <c r="F90"/>
    </row>
    <row r="91" spans="1:6">
      <c r="A91" s="953" t="str">
        <f>"Unbilled Unmetered (UUAC) valued at "&amp;A76&amp;""</f>
        <v xml:space="preserve">Unbilled Unmetered (UUAC) valued at </v>
      </c>
      <c r="B91" s="949"/>
      <c r="C91" s="950">
        <f>IF(Dashboard!BO$2&gt;0,"",Worksheet!H26)</f>
        <v>26.65</v>
      </c>
      <c r="D91" s="951">
        <f>IF(Dashboard!BO$2&gt;0,"",IF(ISBLANK('Start Page'!AB22),"",IF(AND(ISBLANK(Worksheet!H77),Worksheet!Z77&lt;&gt;1),"",Worksheet!H26*(IF(Dashboard!BD29=FALSE,Worksheet!H77,IF(Dashboard!BD29=TRUE,Worksheet!H76*INDEX(Sheet1!B2:D4,MATCH('Start Page'!AB22,Sheet1!A2:A4,0),MATCH(Worksheet!J76,Sheet1!B1:D1,0)),""))))))</f>
        <v>6259.2855</v>
      </c>
      <c r="E91" s="952">
        <f t="shared" si="0"/>
        <v>6259.2855</v>
      </c>
      <c r="F91"/>
    </row>
    <row r="92" spans="1:6">
      <c r="A92" s="158" t="s">
        <v>2</v>
      </c>
      <c r="B92" s="125" t="s">
        <v>239</v>
      </c>
      <c r="C92" s="122">
        <f>IF(Dashboard!BO$2&gt;0,"",Worksheet!H30)</f>
        <v>468.19099999999997</v>
      </c>
      <c r="D92" s="123">
        <f>IF(Dashboard!BO$2&gt;0,"",C92*(Worksheet!$H$76*1000))</f>
        <v>7486374.0899999999</v>
      </c>
      <c r="E92" s="605">
        <f t="shared" si="0"/>
        <v>7486374.0899999999</v>
      </c>
      <c r="F92"/>
    </row>
    <row r="93" spans="1:6">
      <c r="A93" t="s">
        <v>51</v>
      </c>
      <c r="B93"/>
      <c r="C93" s="122">
        <f>IF(Dashboard!BO$2&gt;0,"",Worksheet!H35)</f>
        <v>137.19052610441776</v>
      </c>
      <c r="D93" s="123"/>
      <c r="E93" s="605">
        <f t="shared" si="0"/>
        <v>0</v>
      </c>
      <c r="F93"/>
    </row>
    <row r="94" spans="1:6">
      <c r="A94" s="223" t="s">
        <v>678</v>
      </c>
      <c r="B94" s="46"/>
      <c r="C94" s="126">
        <f>IF(Dashboard!BO$2&gt;0,"",Worksheet!H43)</f>
        <v>1.10229</v>
      </c>
      <c r="D94" s="127">
        <f>IF(Dashboard!BO$2&gt;0,"",IF(ISBLANK('Start Page'!AB22),"",IF(AND(ISBLANK(Worksheet!H77),Worksheet!Z77&lt;&gt;1),"",C94*Worksheet!H76*INDEX(Sheet1!B2:D4,MATCH('Start Page'!AB22,Sheet1!A2:A4,0),MATCH(Worksheet!J76,Sheet1!B1:D1,0)))))</f>
        <v>17625.617099999999</v>
      </c>
      <c r="E94" s="606">
        <f t="shared" si="0"/>
        <v>17625.617099999999</v>
      </c>
      <c r="F94" s="128"/>
    </row>
    <row r="95" spans="1:6">
      <c r="A95" s="935" t="s">
        <v>679</v>
      </c>
      <c r="B95" s="934"/>
      <c r="C95" s="936">
        <f>Worksheet!X50</f>
        <v>8.9982857142857142</v>
      </c>
      <c r="D95" s="937">
        <f>IF(Dashboard!BO$2&gt;0,"",IF(ISBLANK('Start Page'!AB22),"",IF(AND(ISBLANK(Worksheet!H77),Worksheet!Z77&lt;&gt;1),"",C95*Worksheet!H76*INDEX(Sheet1!B2:D4,MATCH('Start Page'!AB22,Sheet1!A2:A4,0),MATCH(Worksheet!J76,Sheet1!B1:D1,0)))))</f>
        <v>143882.58857142858</v>
      </c>
      <c r="E95" s="938">
        <f t="shared" si="0"/>
        <v>143882.58857142858</v>
      </c>
      <c r="F95" s="128"/>
    </row>
    <row r="96" spans="1:6">
      <c r="A96" s="935" t="s">
        <v>1271</v>
      </c>
      <c r="B96" s="934"/>
      <c r="C96" s="936">
        <f>Worksheet!Y50</f>
        <v>1.2755102040816313E-2</v>
      </c>
      <c r="D96" s="937">
        <f>C96*input_VPC</f>
        <v>2.9957908163265277</v>
      </c>
      <c r="E96" s="938">
        <f t="shared" si="0"/>
        <v>2.9957908163265277</v>
      </c>
      <c r="F96" s="941" t="s">
        <v>1273</v>
      </c>
    </row>
    <row r="97" spans="1:7">
      <c r="A97" s="223" t="s">
        <v>680</v>
      </c>
      <c r="B97" s="46"/>
      <c r="C97" s="126">
        <f>IF(Dashboard!BO$2&gt;0,"",Worksheet!H39)</f>
        <v>1.10229</v>
      </c>
      <c r="D97" s="127">
        <f>IF(Dashboard!BO$2&gt;0,"",IF(ISBLANK('Start Page'!AB22),"",IF(AND(ISBLANK(Worksheet!H77),Worksheet!Z77&lt;&gt;1),"",C97*Worksheet!H76*INDEX(Sheet1!B2:D4,MATCH('Start Page'!AB22,Sheet1!A2:A4,0),MATCH(Worksheet!J76,Sheet1!B1:D1,0)))))</f>
        <v>17625.617099999999</v>
      </c>
      <c r="E97" s="606">
        <f t="shared" si="0"/>
        <v>17625.617099999999</v>
      </c>
      <c r="F97" s="128"/>
    </row>
    <row r="98" spans="1:7">
      <c r="A98" s="945" t="s">
        <v>42</v>
      </c>
      <c r="B98" s="945"/>
      <c r="C98" s="946">
        <f>IF(Dashboard!BO$2&gt;0,"",Worksheet!H46)</f>
        <v>11.215620816326556</v>
      </c>
      <c r="D98" s="947">
        <f>IF(Dashboard!BO$2&gt;0,"",SUM(D94:D97))</f>
        <v>179136.81856224491</v>
      </c>
      <c r="E98" s="605">
        <f t="shared" si="0"/>
        <v>179136.81856224491</v>
      </c>
      <c r="F98"/>
    </row>
    <row r="99" spans="1:7">
      <c r="A99" s="54" t="str">
        <f>"Real Losses valued at "&amp;A76&amp;""</f>
        <v xml:space="preserve">Real Losses valued at </v>
      </c>
      <c r="B99" s="46"/>
      <c r="C99" s="126">
        <f>IF(Dashboard!BO$2&gt;0,"",Worksheet!H51)</f>
        <v>125.97490528809121</v>
      </c>
      <c r="D99" s="939">
        <f>IF(Dashboard!BO$2&gt;0,"",Dashboard!N50)</f>
        <v>29587.726005013981</v>
      </c>
      <c r="E99" s="606">
        <f t="shared" si="0"/>
        <v>29587.726005013981</v>
      </c>
      <c r="F99" s="605"/>
    </row>
    <row r="100" spans="1:7">
      <c r="A100" t="s">
        <v>72</v>
      </c>
      <c r="B100"/>
      <c r="C100" s="122">
        <f>IF(Dashboard!BO$2&gt;0,"",Worksheet!H57)</f>
        <v>164.46552610441776</v>
      </c>
      <c r="D100" s="124">
        <f>IF(Dashboard!BO$2&gt;0,"",D98+D99+D90+D91)</f>
        <v>215130.62381725889</v>
      </c>
      <c r="E100" s="605">
        <f t="shared" si="0"/>
        <v>215130.62381725889</v>
      </c>
      <c r="F100"/>
      <c r="G100" s="129"/>
    </row>
    <row r="101" spans="1:7">
      <c r="A101" s="942"/>
    </row>
    <row r="102" spans="1:7">
      <c r="A102" s="942" t="s">
        <v>1272</v>
      </c>
      <c r="C102" s="943">
        <f>C95+C96</f>
        <v>9.0110408163265312</v>
      </c>
      <c r="D102" s="129">
        <f>D95+D96</f>
        <v>143885.5843622449</v>
      </c>
      <c r="E102" s="129">
        <f>E95+E96</f>
        <v>143885.5843622449</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Warren District 450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440.916</v>
      </c>
      <c r="H12" s="362"/>
      <c r="I12" s="5"/>
      <c r="K12" s="898"/>
    </row>
    <row r="13" spans="2:16" ht="22.5" customHeight="1">
      <c r="B13" s="1133"/>
      <c r="C13" s="363"/>
      <c r="D13" s="360"/>
      <c r="E13" s="1142"/>
      <c r="F13" s="365">
        <f>Worksheet!H23+Worksheet!H24</f>
        <v>440.916</v>
      </c>
      <c r="G13" s="366" t="s">
        <v>1090</v>
      </c>
      <c r="H13" s="367">
        <f>SUM(G12+G14)</f>
        <v>440.916</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468.19099999999997</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0.625</v>
      </c>
      <c r="H16" s="1141"/>
      <c r="I16" s="5"/>
      <c r="K16" s="46"/>
    </row>
    <row r="17" spans="2:16" ht="22.5" customHeight="1">
      <c r="B17" s="377">
        <f>Worksheet!AG15</f>
        <v>605.38152610441773</v>
      </c>
      <c r="C17" s="378"/>
      <c r="D17" s="379"/>
      <c r="E17" s="250"/>
      <c r="F17" s="380">
        <f>Worksheet!H25+Worksheet!H26</f>
        <v>27.274999999999999</v>
      </c>
      <c r="G17" s="364" t="s">
        <v>1092</v>
      </c>
      <c r="H17" s="362"/>
      <c r="I17" s="5"/>
      <c r="K17" s="46"/>
      <c r="L17" s="121"/>
      <c r="M17" s="121"/>
      <c r="N17" s="121"/>
      <c r="O17" s="121"/>
      <c r="P17" s="121"/>
    </row>
    <row r="18" spans="2:16" ht="15.75" customHeight="1">
      <c r="B18" s="375"/>
      <c r="C18" s="1154" t="s">
        <v>763</v>
      </c>
      <c r="D18" s="360"/>
      <c r="E18" s="381"/>
      <c r="F18" s="370"/>
      <c r="G18" s="382">
        <f>Worksheet!H26</f>
        <v>26.65</v>
      </c>
      <c r="H18" s="362"/>
      <c r="I18" s="5"/>
      <c r="K18" s="46"/>
    </row>
    <row r="19" spans="2:16" ht="22.5" customHeight="1">
      <c r="B19" s="375"/>
      <c r="C19" s="1154"/>
      <c r="D19" s="383" t="s">
        <v>116</v>
      </c>
      <c r="E19" s="356"/>
      <c r="F19" s="384"/>
      <c r="G19" s="600" t="s">
        <v>695</v>
      </c>
      <c r="H19" s="385">
        <f>Worksheet!H25+Worksheet!H26+Worksheet!H46+Worksheet!H51</f>
        <v>164.46552610441776</v>
      </c>
      <c r="I19" s="5"/>
      <c r="K19" s="46"/>
      <c r="L19" s="121"/>
      <c r="M19" s="121"/>
      <c r="N19" s="121"/>
      <c r="O19" s="121"/>
      <c r="P19" s="121"/>
    </row>
    <row r="20" spans="2:16" ht="15.75" customHeight="1">
      <c r="B20" s="375"/>
      <c r="C20" s="386">
        <f>B17+B27</f>
        <v>605.38152610441773</v>
      </c>
      <c r="D20" s="360"/>
      <c r="E20" s="250"/>
      <c r="F20" s="387" t="s">
        <v>52</v>
      </c>
      <c r="G20" s="376">
        <f>Worksheet!H39</f>
        <v>1.10229</v>
      </c>
      <c r="H20" s="362"/>
      <c r="I20" s="5"/>
      <c r="K20" s="46"/>
    </row>
    <row r="21" spans="2:16" ht="14.25" customHeight="1">
      <c r="B21" s="388"/>
      <c r="C21" s="389"/>
      <c r="D21" s="386">
        <f>Worksheet!H19</f>
        <v>605.38152610441773</v>
      </c>
      <c r="E21" s="390"/>
      <c r="F21" s="380">
        <f>Worksheet!H46</f>
        <v>11.215620816326556</v>
      </c>
      <c r="G21" s="364" t="s">
        <v>694</v>
      </c>
      <c r="H21" s="362"/>
      <c r="I21" s="5"/>
      <c r="K21" s="46"/>
      <c r="L21" s="121"/>
      <c r="M21" s="121"/>
      <c r="N21" s="121"/>
      <c r="O21" s="121"/>
      <c r="P21" s="121"/>
    </row>
    <row r="22" spans="2:16" ht="15.75" customHeight="1">
      <c r="B22" s="375"/>
      <c r="C22" s="359"/>
      <c r="D22" s="360"/>
      <c r="E22" s="250"/>
      <c r="F22" s="390"/>
      <c r="G22" s="391">
        <f>Worksheet!H41</f>
        <v>9.0110408163265561</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1.10229</v>
      </c>
      <c r="H24" s="362"/>
      <c r="I24" s="5"/>
      <c r="K24" s="46"/>
    </row>
    <row r="25" spans="2:16" ht="26.25" customHeight="1">
      <c r="B25" s="1132" t="s">
        <v>1087</v>
      </c>
      <c r="C25" s="363"/>
      <c r="D25" s="360"/>
      <c r="E25" s="393">
        <f>Worksheet!H53</f>
        <v>137.19052610441776</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125.97490528809121</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Warren District 450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34.860557768924302</v>
      </c>
      <c r="AF98" s="40">
        <f t="shared" ref="AF98:AF103" si="0">AE98</f>
        <v>34.860557768924302</v>
      </c>
      <c r="AG98" s="40">
        <f>IF(AE98&lt;&gt;0,AF98/10,0)</f>
        <v>3.4860557768924303</v>
      </c>
      <c r="AH98" s="40">
        <f>IFERROR(AD98*AG98,0)</f>
        <v>34.860557768924302</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0.13944223107569723</v>
      </c>
      <c r="AF99" s="40">
        <f t="shared" si="0"/>
        <v>0.13944223107569723</v>
      </c>
      <c r="AG99" s="40">
        <f t="shared" ref="AG99:AG117" si="3">IF(AE99&lt;&gt;0,AF99/10,0)</f>
        <v>1.3944223107569723E-2</v>
      </c>
      <c r="AH99" s="40">
        <f t="shared" ref="AH99:AH106" si="4">IFERROR(AD99*AG99,0)</f>
        <v>0.12549800796812749</v>
      </c>
      <c r="AI99" s="40">
        <f t="shared" si="1"/>
        <v>1.3944223107569736E-2</v>
      </c>
      <c r="AJ99">
        <f t="array" aca="1" ref="AJ99" ca="1">SUM(1*(AI99&lt;$AI$98:$AI$117))+1+IF(ROW(AI99)-ROW($AI$98)=0,0,SUM(1*(AI99=OFFSET($AI$98,0,0,INDEX(ROW(AI99)-ROW($AI$98)+1,1)-1,1))))</f>
        <v>4</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7</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9</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10</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13.980183040759522</v>
      </c>
      <c r="AF104" s="75">
        <f t="shared" ref="AF104:AF117" si="8">AE104/$AE$120</f>
        <v>17.145507502818283</v>
      </c>
      <c r="AG104" s="75">
        <f t="shared" si="3"/>
        <v>1.7145507502818282</v>
      </c>
      <c r="AH104" s="75">
        <f t="shared" ref="AH104:AH117" si="9">AD104*AG104</f>
        <v>17.145507502818283</v>
      </c>
      <c r="AI104" s="75">
        <f t="shared" si="1"/>
        <v>0</v>
      </c>
      <c r="AJ104" s="76">
        <f t="array" aca="1" ref="AJ104" ca="1">SUM(1*(AI104&lt;$AI$98:$AI$117))+1+IF(ROW(AI104)-ROW($AI$98)=0,0,SUM(1*(AI104=OFFSET($AI$98,0,0,INDEX(ROW(AI104)-ROW($AI$98)+1,1)-1,1))))</f>
        <v>11</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1.9816959240478233E-2</v>
      </c>
      <c r="AF106" s="79">
        <f t="shared" si="8"/>
        <v>2.430381793643557E-2</v>
      </c>
      <c r="AG106" s="79">
        <f t="shared" si="3"/>
        <v>2.4303817936435568E-3</v>
      </c>
      <c r="AH106" s="40">
        <f t="shared" si="4"/>
        <v>2.4303817936435566E-2</v>
      </c>
      <c r="AI106" s="79">
        <f t="shared" si="1"/>
        <v>3.4694469519536142E-18</v>
      </c>
      <c r="AJ106" s="80">
        <f t="array" aca="1" ref="AJ106" ca="1">SUM(1*(AI106&lt;$AI$98:$AI$117))+1+IF(ROW(AI106)-ROW($AI$98)=0,0,SUM(1*(AI106=OFFSET($AI$98,0,0,INDEX(ROW(AI106)-ROW($AI$98)+1,1)-1,1))))</f>
        <v>5</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91.769074644816953</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56DAAF-AA3C-4C30-9DFF-33CEE58EDD9E}"/>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