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28" documentId="8_{B517328C-4114-4E2F-BEC9-479A5C96AFFB}" xr6:coauthVersionLast="47" xr6:coauthVersionMax="47" xr10:uidLastSave="{A4F68893-6778-4A78-B378-8251FD2E7F96}"/>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<sst xmlns="http://schemas.openxmlformats.org/spreadsheetml/2006/main" count="2550" uniqueCount="1283">
  <si>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</si>
  <si>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</si>
  <si>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</si>
  <si>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</si>
  <si>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</si>
  <si>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</si>
  <si>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</si>
  <si>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</si>
  <si>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</si>
  <si>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</si>
  <si>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</si>
  <si>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</si>
  <si>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</si>
  <si>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</si>
  <si>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</si>
  <si>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</si>
  <si>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</si>
  <si>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</si>
  <si>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</si>
  <si>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</si>
  <si>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</si>
  <si>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</si>
  <si>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</si>
  <si>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</si>
  <si>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</si>
  <si>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</si>
  <si>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</si>
  <si>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</si>
  <si>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</si>
  <si>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</si>
  <si>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</si>
  <si>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</si>
  <si>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</si>
  <si>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</si>
  <si>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</si>
  <si>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</si>
  <si>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</si>
  <si>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</si>
  <si>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</si>
  <si>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</si>
  <si>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</si>
  <si>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</si>
  <si>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</si>
  <si>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</si>
  <si>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</si>
  <si>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</si>
  <si>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</si>
  <si>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</si>
  <si>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</si>
  <si>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</si>
  <si>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</si>
  <si>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</si>
  <si>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</si>
  <si>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</si>
  <si>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</si>
  <si>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</si>
  <si>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</si>
  <si>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</si>
  <si>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</si>
  <si>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</si>
  <si>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</si>
  <si>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</si>
  <si>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</si>
  <si>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</si>
  <si>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</si>
  <si>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</si>
  <si>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</si>
  <si>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</si>
  <si>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</si>
  <si>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</si>
  <si>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</si>
  <si>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</si>
  <si>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</si>
  <si>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</si>
  <si>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</si>
  <si>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</si>
  <si>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</si>
  <si>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</si>
  <si>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</si>
  <si>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</si>
  <si>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</si>
  <si>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</si>
  <si>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</si>
  <si>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</si>
  <si>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</si>
  <si>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</si>
  <si>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</si>
  <si>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</si>
  <si>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</si>
  <si>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</si>
  <si>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</si>
  <si>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</si>
  <si>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</si>
  <si>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</si>
  <si>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</si>
  <si>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</si>
  <si>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</si>
  <si>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</si>
  <si>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</si>
  <si>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</si>
  <si>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</si>
  <si>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</si>
  <si>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</si>
  <si>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</si>
  <si>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</si>
  <si>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</si>
  <si>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</si>
  <si>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</si>
  <si>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</si>
  <si>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</si>
  <si>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</si>
  <si>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</si>
  <si>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</si>
  <si>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</si>
  <si>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</si>
  <si>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</si>
  <si>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</si>
  <si>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</si>
  <si>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</si>
  <si>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</si>
  <si>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</si>
  <si>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</si>
  <si>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</si>
  <si>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</si>
  <si>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</si>
  <si>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</si>
  <si>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</si>
  <si>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</si>
  <si>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</si>
  <si>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</si>
  <si>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</si>
  <si>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</si>
  <si>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</si>
  <si>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</si>
  <si>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</si>
  <si>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</si>
  <si>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</si>
  <si>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</si>
  <si>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</si>
  <si>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</si>
  <si>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</si>
  <si>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</si>
  <si>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</si>
  <si>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</si>
  <si>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</si>
  <si>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</si>
  <si>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</si>
  <si>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</si>
  <si>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</si>
  <si>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</si>
  <si>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</si>
  <si>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</si>
  <si>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</si>
  <si>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</si>
  <si>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</si>
  <si>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</si>
  <si>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</si>
  <si>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</si>
  <si>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</si>
  <si>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</si>
  <si>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</si>
  <si>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</si>
  <si>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</si>
  <si>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</si>
  <si>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</si>
  <si>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</si>
  <si>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</si>
  <si>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</si>
  <si>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</si>
  <si>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</si>
  <si>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</si>
  <si>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</si>
  <si>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</si>
  <si>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</si>
  <si>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</si>
  <si>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</si>
  <si>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</si>
  <si>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</si>
  <si>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</si>
  <si>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</si>
  <si>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</si>
  <si>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</si>
  <si>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</si>
  <si>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</si>
  <si>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</si>
  <si>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</si>
  <si>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</si>
  <si>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</si>
  <si>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</si>
  <si>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</si>
  <si>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</si>
  <si>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</si>
  <si>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</si>
  <si>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</si>
  <si>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</si>
  <si>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</si>
  <si>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</si>
  <si>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</si>
  <si>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</si>
  <si>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</si>
  <si>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</si>
  <si>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</si>
  <si>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</si>
  <si>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</si>
  <si>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</si>
  <si>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</si>
  <si>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</si>
  <si>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</si>
  <si>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</si>
  <si>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</si>
  <si>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</si>
  <si>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</si>
  <si>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</si>
  <si>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</si>
  <si>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</si>
  <si>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</si>
  <si>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</si>
  <si>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</si>
  <si>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</si>
  <si>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</si>
  <si>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</si>
  <si>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</si>
  <si>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</si>
  <si>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</si>
  <si>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</si>
  <si>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</si>
  <si>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</si>
  <si>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</si>
  <si>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</si>
  <si>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</si>
  <si>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</si>
  <si>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</si>
  <si>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</si>
  <si>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</si>
  <si>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</si>
  <si>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</si>
  <si>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</si>
  <si>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</si>
  <si>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</si>
  <si>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</si>
  <si>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</si>
  <si>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</si>
  <si>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</si>
  <si>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</si>
  <si>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</si>
  <si>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</si>
  <si>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</si>
  <si>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</si>
  <si>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</si>
  <si>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</si>
  <si>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</si>
  <si>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</si>
  <si>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</si>
  <si>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</si>
  <si>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</si>
  <si>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</si>
  <si>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</si>
  <si>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</si>
  <si>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</si>
  <si>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</si>
  <si>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</si>
  <si>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</si>
  <si>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</si>
  <si>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</si>
  <si>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</si>
  <si>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</si>
  <si>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</si>
  <si>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</si>
  <si>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</si>
  <si>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</si>
  <si>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</si>
  <si>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</si>
  <si>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</si>
  <si>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</si>
  <si>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</si>
  <si>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</si>
  <si>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</si>
  <si>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</si>
  <si>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</si>
  <si>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</si>
  <si>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</si>
  <si>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</si>
  <si>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</si>
  <si>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</si>
  <si>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</si>
  <si>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</si>
  <si>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</si>
  <si>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</si>
  <si>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</si>
  <si>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</si>
  <si>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</si>
  <si>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</si>
  <si>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</si>
  <si>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</si>
  <si>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</si>
  <si>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</si>
  <si>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</si>
  <si>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</si>
  <si>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</si>
  <si>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</si>
  <si>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</si>
  <si>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</si>
  <si>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</si>
  <si>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</si>
  <si>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</si>
  <si>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</si>
  <si>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</si>
  <si>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</si>
  <si>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</si>
  <si>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</si>
  <si>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</si>
  <si>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</si>
  <si>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</si>
  <si>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</si>
  <si>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</si>
  <si>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</si>
  <si>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</si>
  <si>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</si>
  <si>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</si>
  <si>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</si>
  <si>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</si>
  <si>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</si>
  <si>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</si>
  <si>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</si>
  <si>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</si>
  <si>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</si>
  <si>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</si>
  <si>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</si>
  <si>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</si>
  <si>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</si>
  <si>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</si>
  <si>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</si>
  <si>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</si>
  <si>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</si>
  <si>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</si>
  <si>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</si>
  <si>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</si>
  <si>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</si>
  <si>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</si>
  <si>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</si>
  <si>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</si>
  <si>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</si>
  <si>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</si>
  <si>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</si>
  <si>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</si>
  <si>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</si>
  <si>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</si>
  <si>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</si>
  <si>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</si>
  <si>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</si>
  <si>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</si>
  <si>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</si>
  <si>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</si>
  <si>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</si>
  <si>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</si>
  <si>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</si>
  <si>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</si>
  <si>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</si>
  <si>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</si>
  <si>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</si>
  <si>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</si>
  <si>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</si>
  <si>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</si>
  <si>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</si>
  <si>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</si>
  <si>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</si>
  <si>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</si>
  <si>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</si>
  <si>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</si>
  <si>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</si>
  <si>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</si>
  <si>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</si>
  <si>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</si>
  <si>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</si>
  <si>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</si>
  <si>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</si>
  <si>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</si>
  <si>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</si>
  <si>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</si>
  <si>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</si>
  <si>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</si>
  <si>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</si>
  <si>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</si>
  <si>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</si>
  <si>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</si>
  <si>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</si>
  <si>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</si>
  <si>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</si>
  <si>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</si>
  <si>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</si>
  <si>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</si>
  <si>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</si>
  <si>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</si>
  <si>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</si>
  <si>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</si>
  <si>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</si>
  <si>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</si>
  <si>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</si>
  <si>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</si>
  <si>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</si>
  <si>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</si>
  <si>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</si>
  <si>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</si>
  <si>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</si>
  <si>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</si>
  <si>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</si>
  <si>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</si>
  <si>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</si>
  <si>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</si>
  <si>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</si>
  <si>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</si>
  <si>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</si>
  <si>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</si>
  <si>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</si>
  <si>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</si>
  <si>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</si>
  <si>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</si>
  <si>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</si>
  <si>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</si>
  <si>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</si>
  <si>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</si>
  <si>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</si>
  <si>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</si>
  <si>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</si>
  <si>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</si>
  <si>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</si>
  <si>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</si>
  <si>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</si>
  <si>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</si>
  <si>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</si>
  <si>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</si>
  <si>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</si>
  <si>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</si>
  <si>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</si>
  <si>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</si>
  <si>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</si>
  <si>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</si>
  <si>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</si>
  <si>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</si>
  <si>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</si>
  <si>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</si>
  <si>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</si>
  <si>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</si>
  <si>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</si>
  <si>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</si>
  <si>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</si>
  <si>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</si>
  <si>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</si>
  <si>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</si>
  <si>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</si>
  <si>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</si>
  <si>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</si>
  <si>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</si>
  <si>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</si>
  <si>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</si>
  <si>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</si>
  <si>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</si>
  <si>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</si>
  <si>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</si>
  <si>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</si>
  <si>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</si>
  <si>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</si>
  <si>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</si>
  <si>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</si>
  <si>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</si>
  <si>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</si>
  <si>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</si>
  <si>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</si>
  <si>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</si>
  <si>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</si>
  <si>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</si>
  <si>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</si>
  <si>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</si>
  <si>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</si>
  <si>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</si>
  <si>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</si>
  <si>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</si>
  <si>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</si>
  <si>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</si>
  <si>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</si>
  <si>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</si>
  <si>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</si>
  <si>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</si>
  <si>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</si>
  <si>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</si>
  <si>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</si>
  <si>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</si>
  <si>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</si>
  <si>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</si>
  <si>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</si>
  <si>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</si>
  <si>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</si>
  <si>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</si>
  <si>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</si>
  <si>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</si>
  <si>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</si>
  <si>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</si>
  <si>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</si>
  <si>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</si>
  <si>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</si>
  <si>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</si>
  <si>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</si>
  <si>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</si>
  <si>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</si>
  <si>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</si>
  <si>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</si>
  <si>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</si>
  <si>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</si>
  <si>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</si>
  <si>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</si>
  <si>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</si>
  <si>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</si>
  <si>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</si>
  <si>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</si>
  <si>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</si>
  <si>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</si>
  <si>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</si>
  <si>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</si>
  <si>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</si>
  <si>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</si>
  <si>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</si>
  <si>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</si>
  <si>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</si>
  <si>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</si>
  <si>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</si>
  <si>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</si>
  <si>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</si>
  <si>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</si>
  <si>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</si>
  <si>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</si>
  <si>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</si>
  <si>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</si>
  <si>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</si>
  <si>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</si>
  <si>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</si>
  <si>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</si>
  <si>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</si>
  <si>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</si>
  <si>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</si>
  <si>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</si>
  <si>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</si>
  <si>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</si>
  <si>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</si>
  <si>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</si>
  <si>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</si>
  <si>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</si>
  <si>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</si>
  <si>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</si>
  <si>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</si>
  <si>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</si>
  <si>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</si>
  <si>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</si>
  <si>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</si>
  <si>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</si>
  <si>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</si>
  <si>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</si>
  <si>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</si>
  <si>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</si>
  <si>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</si>
  <si>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</si>
  <si>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</si>
  <si>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</si>
  <si>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</si>
  <si>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</si>
  <si>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</si>
  <si>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</si>
  <si>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</si>
  <si>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</si>
  <si>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</si>
  <si>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</si>
  <si>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</si>
  <si>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</si>
  <si>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</si>
  <si>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</si>
  <si>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</si>
  <si>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</si>
  <si>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</si>
  <si>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</si>
  <si>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</si>
  <si>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</si>
  <si>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</si>
  <si>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</si>
  <si>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</si>
  <si>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</si>
  <si>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</si>
  <si>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</si>
  <si>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</si>
  <si>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</si>
  <si>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</si>
  <si>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</si>
  <si>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</si>
  <si>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</si>
  <si>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</si>
  <si>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</si>
  <si>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</si>
  <si>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</si>
  <si>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</si>
  <si>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</si>
  <si>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</si>
  <si>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</si>
  <si>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</si>
  <si>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</si>
  <si>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</si>
  <si>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</si>
  <si>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</si>
  <si>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</si>
  <si>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</si>
  <si>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</si>
  <si>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</si>
  <si>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</si>
  <si>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</si>
  <si>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</si>
  <si>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</si>
  <si>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</si>
  <si>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</si>
  <si>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</si>
  <si>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</si>
  <si>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</si>
  <si>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</si>
  <si>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</si>
  <si>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</si>
  <si>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</si>
  <si>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</si>
  <si>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</si>
  <si>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</si>
  <si>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</si>
  <si>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</si>
  <si>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</si>
  <si>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</si>
  <si>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</si>
  <si>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</si>
  <si>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</si>
  <si>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</si>
  <si>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</si>
  <si>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</si>
  <si>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</si>
  <si>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</si>
  <si>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</si>
  <si>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</si>
  <si>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</si>
  <si>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</si>
  <si>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</si>
  <si>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</si>
  <si>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</si>
  <si>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</si>
  <si>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</si>
  <si>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</si>
  <si>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</si>
  <si>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</si>
  <si>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</si>
  <si>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</si>
  <si>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</si>
  <si>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</si>
  <si>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</si>
  <si>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</si>
  <si>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</si>
  <si>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</si>
  <si>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</si>
  <si>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</si>
  <si>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</si>
  <si>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</si>
  <si>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</si>
  <si>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</si>
  <si>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</si>
  <si>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</si>
  <si>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</si>
  <si>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</si>
  <si>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</si>
  <si>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</si>
  <si>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</si>
  <si>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</si>
  <si>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</si>
  <si>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</si>
  <si>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</si>
  <si>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</si>
  <si>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</si>
  <si>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</si>
  <si>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</si>
  <si>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</si>
  <si>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</si>
  <si>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</si>
  <si>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</si>
  <si>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</si>
  <si>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</si>
  <si>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</si>
  <si>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</si>
  <si>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</si>
  <si>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</si>
  <si>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</si>
  <si>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</si>
  <si>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</si>
  <si>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</si>
  <si>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</si>
  <si>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</si>
  <si>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</si>
  <si>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</si>
  <si>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</si>
  <si>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</si>
  <si>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</si>
  <si>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</si>
  <si>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</si>
  <si>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</si>
  <si>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</si>
  <si>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</si>
  <si>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</si>
  <si>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</si>
  <si>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</si>
  <si>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</si>
  <si>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</si>
  <si>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</si>
  <si>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</si>
  <si>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</si>
  <si>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</si>
  <si>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</si>
  <si>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</si>
  <si>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</si>
  <si>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</si>
  <si>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</si>
  <si>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</si>
  <si>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</si>
  <si>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</si>
  <si>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</si>
  <si>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</si>
  <si>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</si>
  <si>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</si>
  <si>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</si>
  <si>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</si>
  <si>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</si>
  <si>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</si>
  <si>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</si>
  <si>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</si>
  <si>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</si>
  <si>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</si>
  <si>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</si>
  <si>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</si>
  <si>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</si>
  <si>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</si>
  <si>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</si>
  <si>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</si>
  <si>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</si>
  <si>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</si>
  <si>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</si>
  <si>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</si>
  <si>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</si>
  <si>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</si>
  <si>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</si>
  <si>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</si>
  <si>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</si>
  <si>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</si>
  <si>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</si>
  <si>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</si>
  <si>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</si>
  <si>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</si>
  <si>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</si>
  <si>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</si>
  <si>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</si>
  <si>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</si>
  <si>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</si>
  <si>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</si>
  <si>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</si>
  <si>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</si>
  <si>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</si>
  <si>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</si>
  <si>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</si>
  <si>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</si>
  <si>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</si>
  <si>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</si>
  <si>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</si>
  <si>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</si>
  <si>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</si>
  <si>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</si>
  <si>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</si>
  <si>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</si>
  <si>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</si>
  <si>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</si>
  <si>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</si>
  <si>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</si>
  <si>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</si>
  <si>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</si>
  <si>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</si>
  <si>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</si>
  <si>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</si>
  <si>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</si>
  <si>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</si>
  <si>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</si>
  <si>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</si>
  <si>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</si>
  <si>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</si>
  <si>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</si>
  <si>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</si>
  <si>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</si>
  <si>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</si>
  <si>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</si>
  <si>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</si>
  <si>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</si>
  <si>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</si>
  <si>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</si>
  <si>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</si>
  <si>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</si>
  <si>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</si>
  <si>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</si>
  <si>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</si>
  <si>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</si>
  <si>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</si>
  <si>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</si>
  <si>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</si>
  <si>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</si>
  <si>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</si>
  <si>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</si>
  <si>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</si>
  <si>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</si>
  <si>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</si>
  <si>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</si>
  <si>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</si>
  <si>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</si>
  <si>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</si>
  <si>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</si>
  <si>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</si>
  <si>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</si>
  <si>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</si>
  <si>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</si>
  <si>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</si>
  <si>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</si>
  <si>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</si>
  <si>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</si>
  <si>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</si>
  <si>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</si>
  <si>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</si>
  <si>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</si>
  <si>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</si>
  <si>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</si>
  <si>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</si>
  <si>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</si>
  <si>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</si>
  <si>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</si>
  <si>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</si>
  <si>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</si>
  <si>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</si>
  <si>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</si>
  <si>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</si>
  <si>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</si>
  <si>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</si>
  <si>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</si>
  <si>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</si>
  <si>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</si>
  <si>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</si>
  <si>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</si>
  <si>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</si>
  <si>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</si>
  <si>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</si>
  <si>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</si>
  <si>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</si>
  <si>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</si>
  <si>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</si>
  <si>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</si>
  <si>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</si>
  <si>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</si>
  <si>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</si>
  <si>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</si>
  <si>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</si>
  <si>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</si>
  <si>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</si>
  <si>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</si>
  <si>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</si>
  <si>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</si>
  <si>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</si>
  <si>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</si>
  <si>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</si>
  <si>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</si>
  <si>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</si>
  <si>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</si>
  <si>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</si>
  <si>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</si>
  <si>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</si>
  <si>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</si>
  <si>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</si>
  <si>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</si>
  <si>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</si>
  <si>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</si>
  <si>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</si>
  <si>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</si>
  <si>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</si>
  <si>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</si>
  <si>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</si>
  <si>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</si>
  <si>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</si>
  <si>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</si>
  <si>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</si>
  <si>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</si>
  <si>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</si>
  <si>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</si>
  <si>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</si>
  <si>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</si>
  <si>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</si>
  <si>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</si>
  <si>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</si>
  <si>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</si>
  <si>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</si>
  <si>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</si>
  <si>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</si>
  <si>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</si>
  <si>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</si>
  <si>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</si>
  <si>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</si>
  <si>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</si>
  <si>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</si>
  <si>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</si>
  <si>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</si>
  <si>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</si>
  <si>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</si>
  <si>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</si>
  <si>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</si>
  <si>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</si>
  <si>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</si>
  <si>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</si>
  <si>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</si>
  <si>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</si>
  <si>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</si>
  <si>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</si>
  <si>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</si>
  <si>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</si>
  <si>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</si>
  <si>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</si>
  <si>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</si>
  <si>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</si>
  <si>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</si>
  <si>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</si>
  <si>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</si>
  <si>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</si>
  <si>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</si>
  <si>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</si>
  <si>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</si>
  <si>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</si>
  <si>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</si>
  <si>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</si>
  <si>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</si>
  <si>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</si>
  <si>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</si>
  <si>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</si>
  <si>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</si>
  <si>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</si>
  <si>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</si>
  <si>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</si>
  <si>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</si>
  <si>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</si>
  <si>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</si>
  <si>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</si>
  <si>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</si>
  <si>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</si>
  <si>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</si>
  <si>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</si>
  <si>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</si>
  <si>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</si>
  <si>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</si>
  <si>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</si>
  <si>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</si>
  <si>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</si>
  <si>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</si>
  <si>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</si>
  <si>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</si>
  <si>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</si>
  <si>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</si>
  <si>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</si>
  <si>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</si>
  <si>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</si>
  <si>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</si>
  <si>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</si>
  <si>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</si>
  <si>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</si>
  <si>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</si>
  <si>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</si>
  <si>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</si>
  <si>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</si>
  <si>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</si>
  <si>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</si>
  <si>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</si>
  <si>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</si>
  <si>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</si>
  <si>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</si>
  <si>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</si>
  <si>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</si>
  <si>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</si>
  <si>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</si>
  <si>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</si>
  <si>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</si>
  <si>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</si>
  <si>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</si>
  <si>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</si>
  <si>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</si>
  <si>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</si>
  <si>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</si>
  <si>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</si>
  <si>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</si>
  <si>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</si>
  <si>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</si>
  <si>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</si>
  <si>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</si>
  <si>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</si>
  <si>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</si>
  <si>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</si>
  <si>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</si>
  <si>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</si>
  <si>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</si>
  <si>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</si>
  <si>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</si>
  <si>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</si>
  <si>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</si>
  <si>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</si>
  <si>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</si>
  <si>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</si>
  <si>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</si>
  <si>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</si>
  <si>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</si>
  <si>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</si>
  <si>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</si>
  <si>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</si>
  <si>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</si>
  <si>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</si>
  <si>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</si>
  <si>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</si>
  <si>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</si>
  <si>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</si>
  <si>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</si>
  <si>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</si>
  <si>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</si>
  <si>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</si>
  <si>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</si>
  <si>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</si>
  <si>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</si>
  <si>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</si>
  <si>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</si>
  <si>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</si>
  <si>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</si>
  <si>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</si>
  <si>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</si>
  <si>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</si>
  <si>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</si>
  <si>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</si>
  <si>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</si>
  <si>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</si>
  <si>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</si>
  <si>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</si>
  <si>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</si>
  <si>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</si>
  <si>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</si>
  <si>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</si>
  <si>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</si>
  <si>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</si>
  <si>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</si>
  <si>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</si>
  <si>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</si>
  <si>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</si>
  <si>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</si>
  <si>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</si>
  <si>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</si>
  <si>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</si>
  <si>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</si>
  <si>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</si>
  <si>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</si>
  <si>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</si>
  <si>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</si>
  <si>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</si>
  <si>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</si>
  <si>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</si>
  <si>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</si>
  <si>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</si>
  <si>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</si>
  <si>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</si>
  <si>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</si>
  <si>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</si>
  <si>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</si>
  <si>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</si>
  <si>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</si>
  <si>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</si>
  <si>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</si>
  <si>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</si>
  <si>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</si>
  <si>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</si>
  <si>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</si>
  <si>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</si>
  <si>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</si>
  <si>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</si>
  <si>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</si>
  <si>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</si>
  <si>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</si>
  <si>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</si>
  <si>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</si>
  <si>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</si>
  <si>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</si>
  <si>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</si>
  <si>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</si>
  <si>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</si>
  <si>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</si>
  <si>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</si>
  <si>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</si>
  <si>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</si>
  <si>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</si>
  <si>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</si>
  <si>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</si>
  <si>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</si>
  <si>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</si>
  <si>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</si>
  <si>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</si>
  <si>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</si>
  <si>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</si>
  <si>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</si>
  <si>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</si>
  <si>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</si>
  <si>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</si>
  <si>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</si>
  <si>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</si>
  <si>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</si>
  <si>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</si>
  <si>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</si>
  <si>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</si>
  <si>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</si>
  <si>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</si>
  <si>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</si>
  <si>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</si>
  <si>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</si>
  <si>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</si>
  <si>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</si>
  <si>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</si>
  <si>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</si>
  <si>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</si>
  <si>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</si>
  <si>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</si>
  <si>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</si>
  <si>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</si>
  <si>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</si>
  <si>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</si>
  <si>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</si>
  <si>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</si>
  <si>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</si>
  <si>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</si>
  <si>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</si>
  <si>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</si>
  <si>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</si>
  <si>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</si>
  <si>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</si>
  <si>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</si>
  <si>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</si>
  <si>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</si>
  <si>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</si>
  <si>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</si>
  <si>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</si>
  <si>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</si>
  <si>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</si>
  <si>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</si>
  <si>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</si>
  <si>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</si>
  <si>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</si>
  <si>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</si>
  <si>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</si>
  <si>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</si>
  <si>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</si>
  <si>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</si>
  <si>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</si>
  <si>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</si>
  <si>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</si>
  <si>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</si>
  <si>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</si>
  <si>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</si>
  <si>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</si>
  <si>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</si>
  <si>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</si>
  <si>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</si>
  <si>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</si>
  <si>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</si>
  <si>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</si>
  <si>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</si>
  <si>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</si>
  <si>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</si>
  <si>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</si>
  <si>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</si>
  <si>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</si>
  <si>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</si>
  <si>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</si>
  <si>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</si>
  <si>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</si>
  <si>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</si>
  <si>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</si>
  <si>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</si>
  <si>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</si>
  <si>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</si>
  <si>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</si>
  <si>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</si>
  <si>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</si>
  <si>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</si>
  <si>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</si>
  <si>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</si>
  <si>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</si>
  <si>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</si>
  <si>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</si>
  <si>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</si>
  <si>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</si>
  <si>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</si>
  <si>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</si>
  <si>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</si>
  <si>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</si>
  <si>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</si>
  <si>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</si>
  <si>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</si>
  <si>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</si>
  <si>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</si>
  <si>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</si>
  <si>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</si>
  <si>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</si>
  <si>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</si>
  <si>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</si>
  <si>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</si>
  <si>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</si>
  <si>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</si>
  <si>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</si>
  <si>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</si>
  <si>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</si>
  <si>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</si>
  <si>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</si>
  <si>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</si>
  <si>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</si>
  <si>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</si>
  <si>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</si>
  <si>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</si>
  <si>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</si>
  <si>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</si>
  <si>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</si>
  <si>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</si>
  <si>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</si>
  <si>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</si>
  <si>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</si>
  <si>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</si>
  <si>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</si>
  <si>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</si>
  <si>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</si>
  <si>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</si>
  <si>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</si>
  <si>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</si>
  <si>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</si>
  <si>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</si>
  <si>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</si>
  <si>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</si>
  <si>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</si>
  <si>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</si>
  <si>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</si>
  <si>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</si>
  <si>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</si>
  <si>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</si>
  <si>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</si>
  <si>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</si>
  <si>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</si>
  <si>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</si>
  <si>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</si>
  <si>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</si>
  <si>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</si>
  <si>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</si>
  <si>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</si>
  <si>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</si>
  <si>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</si>
  <si>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</si>
  <si>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</si>
  <si>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</si>
  <si>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</si>
  <si>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</si>
  <si>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</si>
  <si>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</si>
  <si>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</si>
  <si>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</si>
  <si>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</si>
  <si>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</si>
  <si>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</si>
  <si>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</si>
  <si>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</si>
  <si>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</si>
  <si>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</si>
  <si>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</si>
  <si>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- 530 Abington</t>
  </si>
  <si>
    <t>James Baer</t>
  </si>
  <si>
    <t>james.baer@amwater.com</t>
  </si>
  <si>
    <t>610-842-3118</t>
  </si>
  <si>
    <t>Clarks Summit</t>
  </si>
  <si>
    <t>USA</t>
  </si>
  <si>
    <t>Calendar</t>
  </si>
  <si>
    <t>2359008 , 2660004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</si>
</sst>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108.45765128434621</c:v>
                </c:pt>
                <c:pt idx="1">
                  <c:v>2.0024160337996988</c:v>
                </c:pt>
                <c:pt idx="2">
                  <c:v>139.84193690681641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3.5305235790572254</c:v>
                </c:pt>
                <c:pt idx="1">
                  <c:v>0.26113598867139654</c:v>
                </c:pt>
                <c:pt idx="2">
                  <c:v>28.850339016195946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37.403032479922608</c:v>
                </c:pt>
                <c:pt idx="1">
                  <c:v>0.92482240795754933</c:v>
                </c:pt>
                <c:pt idx="2">
                  <c:v>77.274946106813502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20.577778683549653</c:v>
                </c:pt>
                <c:pt idx="1">
                  <c:v>0.38772920688421864</c:v>
                </c:pt>
                <c:pt idx="2">
                  <c:v>27.500642970093455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16.825253796372955</c:v>
                </c:pt>
                <c:pt idx="1">
                  <c:v>0.56875750335916142</c:v>
                </c:pt>
                <c:pt idx="2">
                  <c:v>53.700676620163065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96</c:v>
                </c:pt>
                <c:pt idx="1">
                  <c:v>1.2666666666666666</c:v>
                </c:pt>
                <c:pt idx="2" formatCode="General">
                  <c:v>102.73333333333333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276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0.60199999999999998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1.423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0.33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8.1095510204081513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0.48299999999999998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265.17813276446861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$259,868/Yr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264.47064</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625.15236000000004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5276.7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129480.66960489779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7723.17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116498.05728608635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3.7469563197246232</c:v>
                </c:pt>
                <c:pt idx="1">
                  <c:v>9.0856271993300333E-2</c:v>
                </c:pt>
                <c:pt idx="2">
                  <c:v>7.5192214074446184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104.92712770528898</c:v>
                </c:pt>
                <c:pt idx="1">
                  <c:v>1.8469276802355887</c:v>
                </c:pt>
                <c:pt idx="2">
                  <c:v>124.09190464392401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5038.248489815679</c:v>
                </c:pt>
                <c:pt idx="1">
                  <c:v>97.186039594358903</c:v>
                </c:pt>
                <c:pt idx="2" formatCode="_(* #,##0_);_(* \(#,##0\);_(* &quot;-&quot;??_);_(@_)">
                  <c:v>7012.8204198848243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7.emf"/><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51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51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51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51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520"/>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521"/>
                  </a:ext>
                </a:extLst>
              </xdr:cNvPicPr>
            </xdr:nvPicPr>
            <xdr:blipFill rotWithShape="1">
              <a:blip xmlns:r="http://schemas.openxmlformats.org/officeDocument/2006/relationships" r:embed="rId3"/>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522"/>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523"/>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524"/>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525"/>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526"/>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527"/>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528"/>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529"/>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530"/>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531"/>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532"/>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533"/>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534"/>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3420060</xdr:colOff>
      <xdr:row>1</xdr:row>
      <xdr:rowOff>27651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4"/>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X18" sqref="X18"/>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46085</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23613</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L23" sqref="L23"/>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- 530 Abington</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665.66600000000005</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1.0800000000000001E-2</v>
      </c>
      <c r="P15" s="580" t="s">
        <v>787</v>
      </c>
      <c r="Q15" s="1033"/>
      <c r="R15" s="1038"/>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7.1891928000000007</v>
      </c>
      <c r="Y15" s="103">
        <f>$Y$19/$Y$18*H15</f>
        <v>34.62603878116343</v>
      </c>
      <c r="Z15" s="147">
        <f>$Y$19/$Y$18*ABS(X15)</f>
        <v>0.37396121883656508</v>
      </c>
      <c r="AA15" s="896">
        <f>IF(W15=1,input_VOS-input_VOS/(1+O15*AB15),Q15*AB15)</f>
        <v>-7.2676837848766809</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672.93368378487673</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672.85519280000005</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672.93368378487673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396.76600000000002</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13.978790441102456</v>
      </c>
      <c r="Z23" s="154"/>
      <c r="AA23" s="158" t="s">
        <v>780</v>
      </c>
    </row>
    <row r="24" spans="1:33">
      <c r="A24" s="91"/>
      <c r="B24" s="562" t="s">
        <v>911</v>
      </c>
      <c r="C24" s="529" t="s">
        <v>482</v>
      </c>
      <c r="D24" s="841" t="s">
        <v>881</v>
      </c>
      <c r="E24" s="577" t="s">
        <v>882</v>
      </c>
      <c r="F24" s="492">
        <f>'Interactive Data Grading'!D200</f>
        <v>10</v>
      </c>
      <c r="G24" s="94"/>
      <c r="H24" s="321">
        <v>4.2000000000000003E-2</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2.1209558897545853E-2</v>
      </c>
      <c r="Z24" s="146"/>
    </row>
    <row r="25" spans="1:33" ht="13.35" customHeight="1">
      <c r="A25" s="91"/>
      <c r="B25" s="562" t="s">
        <v>919</v>
      </c>
      <c r="C25" s="529" t="s">
        <v>483</v>
      </c>
      <c r="D25" s="841" t="s">
        <v>881</v>
      </c>
      <c r="E25" s="577" t="s">
        <v>882</v>
      </c>
      <c r="F25" s="492">
        <f>'Interactive Data Grading'!D224</f>
        <v>10</v>
      </c>
      <c r="G25" s="94"/>
      <c r="H25" s="501">
        <v>0.60199999999999998</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397.36799999999999</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1.423</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1.423</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398.83299999999997</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274.10068378487676</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0.48299999999999998</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0.48299999999999998</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8.109551020408162</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0.33</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0.33</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8.9225510204081626</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8.0972653061224378</v>
      </c>
      <c r="Y50" s="135">
        <f>IFERROR(IF(W41=1,((H25)/(1-(O41*X41)))-(H25),Q41*H25/(H23+H25)),0)</f>
        <v>1.2285714285714344E-2</v>
      </c>
      <c r="Z50" s="923">
        <f>SUM(X50:Y50)</f>
        <v>8.1095510204081513</v>
      </c>
      <c r="AA50" s="1070"/>
      <c r="AB50" s="1070"/>
      <c r="AC50" s="1070"/>
    </row>
    <row r="51" spans="1:29">
      <c r="A51" s="91"/>
      <c r="B51" s="562"/>
      <c r="C51" s="1050" t="s">
        <v>662</v>
      </c>
      <c r="D51" s="1050"/>
      <c r="E51" s="1050"/>
      <c r="F51" s="1050"/>
      <c r="G51" s="869"/>
      <c r="H51" s="868">
        <f>IFERROR(H35-H46,"")</f>
        <v>265.17813276446861</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129475.27224489779</v>
      </c>
      <c r="Y51" s="940">
        <f>Y50*input_VPC</f>
        <v>5.3973600000000257</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274.10068378487676</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276.12568378487674</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144.19999999999999</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6924</v>
      </c>
      <c r="I62" s="291"/>
      <c r="J62" s="292"/>
      <c r="K62" s="101"/>
      <c r="L62" s="101"/>
      <c r="M62" s="292" t="s">
        <v>902</v>
      </c>
      <c r="N62" s="101"/>
      <c r="U62" s="256"/>
      <c r="V62" s="91"/>
    </row>
    <row r="63" spans="1:29">
      <c r="A63" s="91"/>
      <c r="B63" s="562"/>
      <c r="C63" s="529" t="s">
        <v>165</v>
      </c>
      <c r="D63" s="53"/>
      <c r="E63" s="512"/>
      <c r="F63" s="273"/>
      <c r="G63" s="53"/>
      <c r="H63" s="500">
        <f>IF(ISERROR(H62/H61),"",H62/H61)</f>
        <v>48.016643550624138</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22.6</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22.6</v>
      </c>
      <c r="X67" s="54" t="s">
        <v>130</v>
      </c>
      <c r="Y67" s="54"/>
      <c r="Z67" s="54"/>
    </row>
    <row r="68" spans="1:26">
      <c r="A68" s="91"/>
      <c r="B68" s="562" t="s">
        <v>915</v>
      </c>
      <c r="C68" s="529" t="s">
        <v>487</v>
      </c>
      <c r="D68" s="841" t="s">
        <v>881</v>
      </c>
      <c r="E68" s="577" t="s">
        <v>882</v>
      </c>
      <c r="F68" s="492">
        <f>'Interactive Data Grading'!D422</f>
        <v>8</v>
      </c>
      <c r="G68" s="53"/>
      <c r="H68" s="325">
        <v>95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439.32</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2686901</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Unauthorized Consumption (UC)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93" activePane="bottomLeft" state="frozen"/>
      <selection activeCell="B15" sqref="B15:F17"/>
      <selection pane="bottomLeft" activeCell="C201" sqref="C201"/>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- 530 Abington</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260</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t="s">
        <v>659</v>
      </c>
      <c r="E197" s="753" t="str">
        <f>IF(OR($D$200=10,$D$200="n/a"),"",IFERROR(IF(H197=MIN($H$197:$H$199),"Limiting",""),""))</f>
        <v/>
      </c>
      <c r="F197" s="327"/>
      <c r="H197" s="818">
        <f>VLOOKUP('Interactive Data Grading'!D197,BUAC!$C$6:$F$15,4,FALSE)</f>
        <v>10</v>
      </c>
      <c r="I197" s="818"/>
    </row>
    <row r="198" spans="1:18" ht="27.6" customHeight="1">
      <c r="A198" s="215"/>
      <c r="B198" s="555" t="s">
        <v>436</v>
      </c>
      <c r="C198" s="884" t="str">
        <f>BUAC!B36</f>
        <v>Methodology to quantify consumption for unmetered accounts?</v>
      </c>
      <c r="D198" s="329" t="s">
        <v>729</v>
      </c>
      <c r="E198" s="753" t="str">
        <f>IF(OR($D$200=10,$D$200="n/a"),"",IFERROR(IF(H198=MIN($H$197:$H$199),"Limiting",""),""))</f>
        <v/>
      </c>
      <c r="F198" s="327"/>
      <c r="H198" s="818">
        <f>VLOOKUP('Interactive Data Grading'!D198,BUAC!$D$6:$F$15,3,FALSE)</f>
        <v>10</v>
      </c>
      <c r="I198" s="819"/>
    </row>
    <row r="199" spans="1:18" ht="27.6" customHeight="1">
      <c r="A199" s="215"/>
      <c r="B199" s="555" t="s">
        <v>437</v>
      </c>
      <c r="C199" s="884" t="str">
        <f>BUAC!B37</f>
        <v>How frequently is unmetered customer consumption estimated?</v>
      </c>
      <c r="D199" s="329" t="s">
        <v>268</v>
      </c>
      <c r="E199" s="753" t="str">
        <f>IF(OR($D$200=10,$D$200="n/a"),"",IFERROR(IF(H199=MIN($H$197:$H$199),"Limiting",""),""))</f>
        <v/>
      </c>
      <c r="F199" s="327"/>
      <c r="H199" s="818">
        <f>VLOOKUP('Interactive Data Grading'!D199,BUAC!$E$6:$F$15,2,FALSE)</f>
        <v>10</v>
      </c>
      <c r="I199" s="819"/>
    </row>
    <row r="200" spans="1:18" ht="27.6" customHeight="1">
      <c r="A200" s="215"/>
      <c r="B200" s="215"/>
      <c r="C200" s="328" t="s">
        <v>313</v>
      </c>
      <c r="D200" s="756">
        <f>IFERROR((IF(D196="No","n/a",H200)),"")</f>
        <v>10</v>
      </c>
      <c r="E200" s="753"/>
      <c r="F200" s="327"/>
      <c r="H200" s="821">
        <f>MIN(H196:H199)</f>
        <v>10</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78"/>
      <c r="O270" s="1078"/>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Limiting</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10"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- 530 Abington</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96</v>
      </c>
      <c r="BS6" s="710"/>
      <c r="BT6" s="709"/>
      <c r="BU6" s="711"/>
      <c r="BV6" s="711"/>
      <c r="BW6" s="711"/>
      <c r="BX6" s="58"/>
      <c r="BY6" s="58"/>
    </row>
    <row r="7" spans="1:77" s="244" customFormat="1" ht="12.9" customHeight="1">
      <c r="A7" s="243"/>
      <c r="B7" s="335"/>
      <c r="C7" s="58"/>
      <c r="D7" s="247"/>
      <c r="E7" s="852"/>
      <c r="F7" s="247"/>
      <c r="G7" s="247"/>
      <c r="H7" s="678"/>
      <c r="I7" s="792" t="s">
        <v>237</v>
      </c>
      <c r="J7" s="1090">
        <f>BR6</f>
        <v>96</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96</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102.73333333333333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37.403032479922608</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37.403032479922608</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37.403032479922608</v>
      </c>
      <c r="AB18" s="1100"/>
      <c r="AC18" s="1100"/>
      <c r="AD18" s="871" t="str">
        <f>BD13</f>
        <v>$/conn/year</v>
      </c>
      <c r="AE18" s="872"/>
      <c r="AF18" s="873"/>
      <c r="AG18" s="873"/>
      <c r="AH18" s="874"/>
      <c r="AI18" s="874"/>
      <c r="AJ18" s="872"/>
      <c r="AK18" s="1100">
        <f>BS22</f>
        <v>20.577778683549653</v>
      </c>
      <c r="AL18" s="1100"/>
      <c r="AM18" s="1100"/>
      <c r="AN18" s="871" t="str">
        <f>BD13</f>
        <v>$/conn/year</v>
      </c>
      <c r="AO18" s="872"/>
      <c r="AP18" s="872"/>
      <c r="AQ18" s="872"/>
      <c r="AR18" s="872"/>
      <c r="AS18" s="872"/>
      <c r="AT18" s="872"/>
      <c r="AU18" s="1100">
        <f>BS29</f>
        <v>16.825253796372955</v>
      </c>
      <c r="AV18" s="1100"/>
      <c r="AW18" s="1100"/>
      <c r="AX18" s="871" t="str">
        <f>BD13</f>
        <v>$/conn/year</v>
      </c>
      <c r="AY18" s="701"/>
      <c r="AZ18" s="247"/>
      <c r="BA18" s="247"/>
      <c r="BB18" s="342"/>
      <c r="BC18" s="109"/>
      <c r="BD18" s="58" t="s">
        <v>706</v>
      </c>
      <c r="BE18" s="234">
        <f>(((5.41*Worksheet!H61)+(0.15*Worksheet!H62)+(7.5*(Worksheet!H62*Worksheet!W67/5280)))*Worksheet!H68)/1000000*365</f>
        <v>70.771610378409079</v>
      </c>
      <c r="BN18" s="659"/>
      <c r="BO18" s="716" t="s">
        <v>1039</v>
      </c>
      <c r="BP18" s="718">
        <f>BQ18-BQ17</f>
        <v>8.9525318444022357</v>
      </c>
      <c r="BQ18" s="900">
        <f t="shared" si="0"/>
        <v>18.283980813778896</v>
      </c>
      <c r="BR18" s="716" t="s">
        <v>779</v>
      </c>
      <c r="BS18" s="720">
        <f>SUM(BP16:BP20)-SUM(BS16,BS17)</f>
        <v>77.274946106813502</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217.18981247809339</v>
      </c>
      <c r="BF19" s="233">
        <f>BE19*325851.427242/Worksheet!H62/365</f>
        <v>28.003296209495293</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417.72487049999995</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20.577778683549653</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20.577778683549653</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27.500642970093455</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108.45765128434621</v>
      </c>
      <c r="AB29" s="1104"/>
      <c r="AC29" s="1104"/>
      <c r="AD29" s="870" t="str">
        <f>BD10</f>
        <v>gal/conn/day</v>
      </c>
      <c r="AE29" s="870"/>
      <c r="AF29" s="875"/>
      <c r="AG29" s="875"/>
      <c r="AH29" s="700"/>
      <c r="AI29" s="700"/>
      <c r="AJ29" s="700"/>
      <c r="AK29" s="1104">
        <f>BS43</f>
        <v>3.5305235790572254</v>
      </c>
      <c r="AL29" s="1104"/>
      <c r="AM29" s="1104"/>
      <c r="AN29" s="871" t="str">
        <f>BD10</f>
        <v>gal/conn/day</v>
      </c>
      <c r="AO29" s="700"/>
      <c r="AP29" s="700"/>
      <c r="AQ29" s="700"/>
      <c r="AR29" s="700"/>
      <c r="AS29" s="700"/>
      <c r="AT29" s="700"/>
      <c r="AU29" s="1110">
        <f>BS55</f>
        <v>104.92712770528898</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16.825253796372955</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16.825253796372955</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95</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53.700676620163065</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108.45765128434621</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108.45765128434621</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139.84193690681641</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3.7469563197246232</v>
      </c>
      <c r="AI41" s="1109"/>
      <c r="AJ41" s="1109"/>
      <c r="AK41" s="870" t="s">
        <v>1048</v>
      </c>
      <c r="AL41" s="799"/>
      <c r="AM41" s="800"/>
      <c r="AN41" s="796"/>
      <c r="AO41" s="796"/>
      <c r="AP41" s="796"/>
      <c r="AQ41" s="796"/>
      <c r="AR41" s="796"/>
      <c r="AS41" s="1108">
        <f>BS69</f>
        <v>5038.248489815679</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70.771610378409079</v>
      </c>
      <c r="AL43" s="1106"/>
      <c r="AM43" s="1106"/>
      <c r="AN43" s="1106"/>
      <c r="AO43" s="916" t="str">
        <f>BD7</f>
        <v>MG/Yr</v>
      </c>
      <c r="AP43" s="700"/>
      <c r="AQ43" s="700"/>
      <c r="AR43" s="700"/>
      <c r="AS43" s="1106">
        <f>IF(BG19=1,BF19,IFERROR(AK43*1000000/Worksheet!H62/365,""))</f>
        <v>28.003296209495293</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3.5305235790572254</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3.5305235790572254</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28.850339016195946</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8.9225510204081626</v>
      </c>
      <c r="J49" s="1115"/>
      <c r="K49" s="1115"/>
      <c r="L49" s="1115"/>
      <c r="M49" s="683"/>
      <c r="N49" s="1116">
        <f>IF(OR(ISBLANK('Start Page'!$AB$22),ISBLANK(Worksheet!J76)),"",(SUM(Worksheet!H43+Worksheet!H39+Worksheet!X50)*Worksheet!H76)*INDEX(Sheet1!B2:D4,MATCH('Start Page'!AB22,Sheet1!A2:A4,0),MATCH(Worksheet!J76,Sheet1!B1:D1,0))+Worksheet!Y50*Worksheet!H77)</f>
        <v>142480.53960489779</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265.17813276446861</v>
      </c>
      <c r="J50" s="1115"/>
      <c r="K50" s="1115"/>
      <c r="L50" s="1115"/>
      <c r="M50" s="683"/>
      <c r="N50" s="1116">
        <f>IFERROR(IF(Worksheet!H41="Select under/over","",IF(ISBLANK('Start Page'!AB22),"",Worksheet!H51*(IF(BD29=FALSE,Worksheet!H77,IF(BD29=TRUE,Worksheet!H76*INDEX(Sheet1!B2:D4,MATCH('Start Page'!AB22,Sheet1!A2:A4,0),MATCH(Worksheet!J76,Sheet1!B1:D1,0)),""))))),"")</f>
        <v>116498.05728608635</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2.0249999999999999</v>
      </c>
      <c r="J51" s="1115"/>
      <c r="K51" s="1115"/>
      <c r="L51" s="1115"/>
      <c r="M51" s="683"/>
      <c r="N51" s="1116">
        <f>IFERROR(IF(SUM(Sheet1!D90:D91)=0,"",SUM(Sheet1!D90:D91)),"")</f>
        <v>889.62300000000005</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276.12568378487674</v>
      </c>
      <c r="J52" s="1115"/>
      <c r="K52" s="1115"/>
      <c r="L52" s="1115"/>
      <c r="M52" s="683"/>
      <c r="N52" s="1116">
        <f>IF(SUM(N49:N51)=0,"",SUM(N49:N51))</f>
        <v>259868.21989098412</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104.92712770528898</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104.92712770528898</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124.09190464392401</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3.7469563197246232</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3.7469563197246232</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7.5192214074446184</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5038.248489815679</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5038.248489815679</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7012.8204198848243</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42.665808526427512</v>
      </c>
      <c r="BQ83" s="733">
        <f>BP83+BQ78</f>
        <v>95</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- 530 Abington</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276 MG/Yr</v>
      </c>
    </row>
    <row r="79" spans="1:6" ht="13.8">
      <c r="B79" s="52"/>
      <c r="C79" s="52"/>
      <c r="D79" s="52"/>
      <c r="E79" s="9" t="str">
        <f>IFERROR("Total Cost of NRW = $"&amp;TEXT(SUM(D90,D91,D94,D95,D96,D97,D99),"#,###")&amp;"/Yr","")</f>
        <v>Total Cost of NRW = $259,868/Yr</v>
      </c>
      <c r="F79" s="52"/>
    </row>
    <row r="80" spans="1:6">
      <c r="A80"/>
      <c r="B80"/>
      <c r="C80" s="53" t="str">
        <f>"Volume ("&amp;Worksheet!J15&amp;")"</f>
        <v>Volume (MG/Yr)</v>
      </c>
      <c r="D80" s="53" t="s">
        <v>147</v>
      </c>
      <c r="E80" s="94" t="s">
        <v>1085</v>
      </c>
      <c r="F80"/>
    </row>
    <row r="81" spans="1:6">
      <c r="A81" s="46" t="s">
        <v>127</v>
      </c>
      <c r="B81" s="46"/>
      <c r="C81" s="122">
        <f>IF(Dashboard!BO$2&gt;0,"",Worksheet!H15)</f>
        <v>665.66600000000005</v>
      </c>
      <c r="D81" s="123">
        <f>IF(Dashboard!BO$2&gt;0,"",C81*(Worksheet!$H$77))</f>
        <v>292440.38712000003</v>
      </c>
      <c r="E81" s="605">
        <f>D81</f>
        <v>292440.38712000003</v>
      </c>
      <c r="F81" s="84" t="s">
        <v>1084</v>
      </c>
    </row>
    <row r="82" spans="1:6">
      <c r="A82" s="46" t="str">
        <f>A81&amp;" MA"</f>
        <v>Vol. from own sources: MA</v>
      </c>
      <c r="B82" s="46"/>
      <c r="C82" s="122">
        <f>IF(Dashboard!BO$2&gt;0,"",Worksheet!X15)</f>
        <v>7.1891928000000007</v>
      </c>
      <c r="D82" s="123">
        <f>IF(Dashboard!BO$2&gt;0,"",C82*(Worksheet!$H$77))</f>
        <v>3158.3561808960003</v>
      </c>
      <c r="E82" s="605">
        <f t="shared" ref="E82:E100" si="0">D82</f>
        <v>3158.3561808960003</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672.93368378487673</v>
      </c>
      <c r="D87" s="123">
        <f>IF(Dashboard!BO$2&gt;0,"",C87*(Worksheet!$H$77))</f>
        <v>295633.22596037202</v>
      </c>
      <c r="E87" s="605">
        <f t="shared" si="0"/>
        <v>295633.22596037202</v>
      </c>
      <c r="F87"/>
    </row>
    <row r="88" spans="1:6">
      <c r="A88" s="158" t="s">
        <v>1269</v>
      </c>
      <c r="B88"/>
      <c r="C88" s="122">
        <f>IF(Dashboard!BO$2&gt;0,"",Worksheet!H23)</f>
        <v>396.76600000000002</v>
      </c>
      <c r="D88" s="123">
        <f>IF(Dashboard!BO$2&gt;0,"",C88*(Worksheet!$H$76*1000))</f>
        <v>6344288.3399999999</v>
      </c>
      <c r="E88" s="605">
        <f t="shared" si="0"/>
        <v>6344288.3399999999</v>
      </c>
      <c r="F88"/>
    </row>
    <row r="89" spans="1:6">
      <c r="A89" s="158" t="s">
        <v>1270</v>
      </c>
      <c r="B89"/>
      <c r="C89" s="122">
        <f>IF(Dashboard!BO$2&gt;0,"",Worksheet!H24)</f>
        <v>4.2000000000000003E-2</v>
      </c>
      <c r="D89" s="123">
        <f>IF(Dashboard!BO$2&gt;0,"",C89*(Worksheet!$H$76*1000))</f>
        <v>671.58</v>
      </c>
      <c r="E89" s="605">
        <f t="shared" si="0"/>
        <v>671.58</v>
      </c>
      <c r="F89"/>
    </row>
    <row r="90" spans="1:6">
      <c r="A90" s="948" t="str">
        <f>"Unbilled Metered (UMAC) valued at "&amp;A76&amp;""</f>
        <v xml:space="preserve">Unbilled Metered (UMAC) valued at </v>
      </c>
      <c r="B90" s="949"/>
      <c r="C90" s="950">
        <f>IF(Dashboard!BO$2&gt;0,"",Worksheet!H25)</f>
        <v>0.60199999999999998</v>
      </c>
      <c r="D90" s="951">
        <f>IF(Dashboard!BO$2&gt;0,"",IF(ISBLANK('Start Page'!AB22),"",IF(AND(ISBLANK(Worksheet!H77),Worksheet!Z77&lt;&gt;1),"",Worksheet!H25*(IF(Dashboard!BD29=FALSE,Worksheet!H77,IF(Dashboard!BD29=TRUE,Worksheet!H76*INDEX(Sheet1!B2:D4,MATCH('Start Page'!AB22,Sheet1!A2:A4,0),MATCH(Worksheet!J76,Sheet1!B1:D1,0)),""))))))</f>
        <v>264.47064</v>
      </c>
      <c r="E90" s="952">
        <f t="shared" si="0"/>
        <v>264.47064</v>
      </c>
      <c r="F90"/>
    </row>
    <row r="91" spans="1:6">
      <c r="A91" s="953" t="str">
        <f>"Unbilled Unmetered (UUAC) valued at "&amp;A76&amp;""</f>
        <v xml:space="preserve">Unbilled Unmetered (UUAC) valued at </v>
      </c>
      <c r="B91" s="949"/>
      <c r="C91" s="950">
        <f>IF(Dashboard!BO$2&gt;0,"",Worksheet!H26)</f>
        <v>1.423</v>
      </c>
      <c r="D91" s="951">
        <f>IF(Dashboard!BO$2&gt;0,"",IF(ISBLANK('Start Page'!AB22),"",IF(AND(ISBLANK(Worksheet!H77),Worksheet!Z77&lt;&gt;1),"",Worksheet!H26*(IF(Dashboard!BD29=FALSE,Worksheet!H77,IF(Dashboard!BD29=TRUE,Worksheet!H76*INDEX(Sheet1!B2:D4,MATCH('Start Page'!AB22,Sheet1!A2:A4,0),MATCH(Worksheet!J76,Sheet1!B1:D1,0)),""))))))</f>
        <v>625.15236000000004</v>
      </c>
      <c r="E91" s="952">
        <f t="shared" si="0"/>
        <v>625.15236000000004</v>
      </c>
      <c r="F91"/>
    </row>
    <row r="92" spans="1:6">
      <c r="A92" s="158" t="s">
        <v>2</v>
      </c>
      <c r="B92" s="125" t="s">
        <v>239</v>
      </c>
      <c r="C92" s="122">
        <f>IF(Dashboard!BO$2&gt;0,"",Worksheet!H30)</f>
        <v>398.83299999999997</v>
      </c>
      <c r="D92" s="123">
        <f>IF(Dashboard!BO$2&gt;0,"",C92*(Worksheet!$H$76*1000))</f>
        <v>6377339.6699999999</v>
      </c>
      <c r="E92" s="605">
        <f t="shared" si="0"/>
        <v>6377339.6699999999</v>
      </c>
      <c r="F92"/>
    </row>
    <row r="93" spans="1:6">
      <c r="A93" t="s">
        <v>51</v>
      </c>
      <c r="B93"/>
      <c r="C93" s="122">
        <f>IF(Dashboard!BO$2&gt;0,"",Worksheet!H35)</f>
        <v>274.10068378487676</v>
      </c>
      <c r="D93" s="123"/>
      <c r="E93" s="605">
        <f t="shared" si="0"/>
        <v>0</v>
      </c>
      <c r="F93"/>
    </row>
    <row r="94" spans="1:6">
      <c r="A94" s="223" t="s">
        <v>678</v>
      </c>
      <c r="B94" s="46"/>
      <c r="C94" s="126">
        <f>IF(Dashboard!BO$2&gt;0,"",Worksheet!H43)</f>
        <v>0.33</v>
      </c>
      <c r="D94" s="127">
        <f>IF(Dashboard!BO$2&gt;0,"",IF(ISBLANK('Start Page'!AB22),"",IF(AND(ISBLANK(Worksheet!H77),Worksheet!Z77&lt;&gt;1),"",C94*Worksheet!H76*INDEX(Sheet1!B2:D4,MATCH('Start Page'!AB22,Sheet1!A2:A4,0),MATCH(Worksheet!J76,Sheet1!B1:D1,0)))))</f>
        <v>5276.7</v>
      </c>
      <c r="E94" s="606">
        <f t="shared" si="0"/>
        <v>5276.7</v>
      </c>
      <c r="F94" s="128"/>
    </row>
    <row r="95" spans="1:6">
      <c r="A95" s="935" t="s">
        <v>679</v>
      </c>
      <c r="B95" s="934"/>
      <c r="C95" s="936">
        <f>Worksheet!X50</f>
        <v>8.0972653061224378</v>
      </c>
      <c r="D95" s="937">
        <f>IF(Dashboard!BO$2&gt;0,"",IF(ISBLANK('Start Page'!AB22),"",IF(AND(ISBLANK(Worksheet!H77),Worksheet!Z77&lt;&gt;1),"",C95*Worksheet!H76*INDEX(Sheet1!B2:D4,MATCH('Start Page'!AB22,Sheet1!A2:A4,0),MATCH(Worksheet!J76,Sheet1!B1:D1,0)))))</f>
        <v>129475.27224489779</v>
      </c>
      <c r="E95" s="938">
        <f t="shared" si="0"/>
        <v>129475.27224489779</v>
      </c>
      <c r="F95" s="128"/>
    </row>
    <row r="96" spans="1:6">
      <c r="A96" s="935" t="s">
        <v>1271</v>
      </c>
      <c r="B96" s="934"/>
      <c r="C96" s="936">
        <f>Worksheet!Y50</f>
        <v>1.2285714285714344E-2</v>
      </c>
      <c r="D96" s="937">
        <f>C96*input_VPC</f>
        <v>5.3973600000000257</v>
      </c>
      <c r="E96" s="938">
        <f t="shared" si="0"/>
        <v>5.3973600000000257</v>
      </c>
      <c r="F96" s="941" t="s">
        <v>1273</v>
      </c>
    </row>
    <row r="97" spans="1:7">
      <c r="A97" s="223" t="s">
        <v>680</v>
      </c>
      <c r="B97" s="46"/>
      <c r="C97" s="126">
        <f>IF(Dashboard!BO$2&gt;0,"",Worksheet!H39)</f>
        <v>0.48299999999999998</v>
      </c>
      <c r="D97" s="127">
        <f>IF(Dashboard!BO$2&gt;0,"",IF(ISBLANK('Start Page'!AB22),"",IF(AND(ISBLANK(Worksheet!H77),Worksheet!Z77&lt;&gt;1),"",C97*Worksheet!H76*INDEX(Sheet1!B2:D4,MATCH('Start Page'!AB22,Sheet1!A2:A4,0),MATCH(Worksheet!J76,Sheet1!B1:D1,0)))))</f>
        <v>7723.17</v>
      </c>
      <c r="E97" s="606">
        <f t="shared" si="0"/>
        <v>7723.17</v>
      </c>
      <c r="F97" s="128"/>
    </row>
    <row r="98" spans="1:7">
      <c r="A98" s="945" t="s">
        <v>42</v>
      </c>
      <c r="B98" s="945"/>
      <c r="C98" s="946">
        <f>IF(Dashboard!BO$2&gt;0,"",Worksheet!H46)</f>
        <v>8.9225510204081626</v>
      </c>
      <c r="D98" s="947">
        <f>IF(Dashboard!BO$2&gt;0,"",SUM(D94:D97))</f>
        <v>142480.53960489781</v>
      </c>
      <c r="E98" s="605">
        <f t="shared" si="0"/>
        <v>142480.53960489781</v>
      </c>
      <c r="F98"/>
    </row>
    <row r="99" spans="1:7">
      <c r="A99" s="54" t="str">
        <f>"Real Losses valued at "&amp;A76&amp;""</f>
        <v xml:space="preserve">Real Losses valued at </v>
      </c>
      <c r="B99" s="46"/>
      <c r="C99" s="126">
        <f>IF(Dashboard!BO$2&gt;0,"",Worksheet!H51)</f>
        <v>265.17813276446861</v>
      </c>
      <c r="D99" s="939">
        <f>IF(Dashboard!BO$2&gt;0,"",Dashboard!N50)</f>
        <v>116498.05728608635</v>
      </c>
      <c r="E99" s="606">
        <f t="shared" si="0"/>
        <v>116498.05728608635</v>
      </c>
      <c r="F99" s="605"/>
    </row>
    <row r="100" spans="1:7">
      <c r="A100" t="s">
        <v>72</v>
      </c>
      <c r="B100"/>
      <c r="C100" s="122">
        <f>IF(Dashboard!BO$2&gt;0,"",Worksheet!H57)</f>
        <v>276.12568378487674</v>
      </c>
      <c r="D100" s="124">
        <f>IF(Dashboard!BO$2&gt;0,"",D98+D99+D90+D91)</f>
        <v>259868.21989098418</v>
      </c>
      <c r="E100" s="605">
        <f t="shared" si="0"/>
        <v>259868.21989098418</v>
      </c>
      <c r="F100"/>
      <c r="G100" s="129"/>
    </row>
    <row r="101" spans="1:7">
      <c r="A101" s="942"/>
    </row>
    <row r="102" spans="1:7">
      <c r="A102" s="942" t="s">
        <v>1272</v>
      </c>
      <c r="C102" s="943">
        <f>C95+C96</f>
        <v>8.1095510204081513</v>
      </c>
      <c r="D102" s="129">
        <f>D95+D96</f>
        <v>129480.66960489779</v>
      </c>
      <c r="E102" s="129">
        <f>E95+E96</f>
        <v>129480.66960489779</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- 530 Abington</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396.76600000000002</v>
      </c>
      <c r="H12" s="362"/>
      <c r="I12" s="5"/>
      <c r="K12" s="898"/>
    </row>
    <row r="13" spans="2:16" ht="22.5" customHeight="1">
      <c r="B13" s="1133"/>
      <c r="C13" s="363"/>
      <c r="D13" s="360"/>
      <c r="E13" s="1142"/>
      <c r="F13" s="365">
        <f>Worksheet!H23+Worksheet!H24</f>
        <v>396.80799999999999</v>
      </c>
      <c r="G13" s="366" t="s">
        <v>1090</v>
      </c>
      <c r="H13" s="367">
        <f>SUM(G12+G14)</f>
        <v>396.80799999999999</v>
      </c>
      <c r="I13" s="5"/>
      <c r="K13" s="46"/>
      <c r="L13" s="121"/>
      <c r="M13" s="121"/>
      <c r="N13" s="121"/>
      <c r="O13" s="121"/>
      <c r="P13" s="121"/>
    </row>
    <row r="14" spans="2:16" ht="15.75" customHeight="1">
      <c r="B14" s="1144" t="s">
        <v>762</v>
      </c>
      <c r="C14" s="368"/>
      <c r="D14" s="360"/>
      <c r="E14" s="369"/>
      <c r="F14" s="370"/>
      <c r="G14" s="371">
        <f>Worksheet!H24</f>
        <v>4.2000000000000003E-2</v>
      </c>
      <c r="H14" s="372"/>
      <c r="I14" s="5"/>
      <c r="K14" s="46"/>
    </row>
    <row r="15" spans="2:16" ht="15.75" customHeight="1">
      <c r="B15" s="1145"/>
      <c r="C15" s="368"/>
      <c r="D15" s="360"/>
      <c r="E15" s="373">
        <f>Worksheet!H30</f>
        <v>398.83299999999997</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0.60199999999999998</v>
      </c>
      <c r="H16" s="1141"/>
      <c r="I16" s="5"/>
      <c r="K16" s="46"/>
    </row>
    <row r="17" spans="2:16" ht="22.5" customHeight="1">
      <c r="B17" s="377">
        <f>Worksheet!AG15</f>
        <v>672.93368378487673</v>
      </c>
      <c r="C17" s="378"/>
      <c r="D17" s="379"/>
      <c r="E17" s="250"/>
      <c r="F17" s="380">
        <f>Worksheet!H25+Worksheet!H26</f>
        <v>2.0249999999999999</v>
      </c>
      <c r="G17" s="364" t="s">
        <v>1092</v>
      </c>
      <c r="H17" s="362"/>
      <c r="I17" s="5"/>
      <c r="K17" s="46"/>
      <c r="L17" s="121"/>
      <c r="M17" s="121"/>
      <c r="N17" s="121"/>
      <c r="O17" s="121"/>
      <c r="P17" s="121"/>
    </row>
    <row r="18" spans="2:16" ht="15.75" customHeight="1">
      <c r="B18" s="375"/>
      <c r="C18" s="1154" t="s">
        <v>763</v>
      </c>
      <c r="D18" s="360"/>
      <c r="E18" s="381"/>
      <c r="F18" s="370"/>
      <c r="G18" s="382">
        <f>Worksheet!H26</f>
        <v>1.423</v>
      </c>
      <c r="H18" s="362"/>
      <c r="I18" s="5"/>
      <c r="K18" s="46"/>
    </row>
    <row r="19" spans="2:16" ht="22.5" customHeight="1">
      <c r="B19" s="375"/>
      <c r="C19" s="1154"/>
      <c r="D19" s="383" t="s">
        <v>116</v>
      </c>
      <c r="E19" s="356"/>
      <c r="F19" s="384"/>
      <c r="G19" s="600" t="s">
        <v>695</v>
      </c>
      <c r="H19" s="385">
        <f>Worksheet!H25+Worksheet!H26+Worksheet!H46+Worksheet!H51</f>
        <v>276.1256837848768</v>
      </c>
      <c r="I19" s="5"/>
      <c r="K19" s="46"/>
      <c r="L19" s="121"/>
      <c r="M19" s="121"/>
      <c r="N19" s="121"/>
      <c r="O19" s="121"/>
      <c r="P19" s="121"/>
    </row>
    <row r="20" spans="2:16" ht="15.75" customHeight="1">
      <c r="B20" s="375"/>
      <c r="C20" s="386">
        <f>B17+B27</f>
        <v>672.93368378487673</v>
      </c>
      <c r="D20" s="360"/>
      <c r="E20" s="250"/>
      <c r="F20" s="387" t="s">
        <v>52</v>
      </c>
      <c r="G20" s="376">
        <f>Worksheet!H39</f>
        <v>0.48299999999999998</v>
      </c>
      <c r="H20" s="362"/>
      <c r="I20" s="5"/>
      <c r="K20" s="46"/>
    </row>
    <row r="21" spans="2:16" ht="14.25" customHeight="1">
      <c r="B21" s="388"/>
      <c r="C21" s="389"/>
      <c r="D21" s="386">
        <f>Worksheet!H19</f>
        <v>672.93368378487673</v>
      </c>
      <c r="E21" s="390"/>
      <c r="F21" s="380">
        <f>Worksheet!H46</f>
        <v>8.9225510204081626</v>
      </c>
      <c r="G21" s="364" t="s">
        <v>694</v>
      </c>
      <c r="H21" s="362"/>
      <c r="I21" s="5"/>
      <c r="K21" s="46"/>
      <c r="L21" s="121"/>
      <c r="M21" s="121"/>
      <c r="N21" s="121"/>
      <c r="O21" s="121"/>
      <c r="P21" s="121"/>
    </row>
    <row r="22" spans="2:16" ht="15.75" customHeight="1">
      <c r="B22" s="375"/>
      <c r="C22" s="359"/>
      <c r="D22" s="360"/>
      <c r="E22" s="250"/>
      <c r="F22" s="390"/>
      <c r="G22" s="391">
        <f>Worksheet!H41</f>
        <v>8.109551020408162</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0.33</v>
      </c>
      <c r="H24" s="362"/>
      <c r="I24" s="5"/>
      <c r="K24" s="46"/>
    </row>
    <row r="25" spans="2:16" ht="26.25" customHeight="1">
      <c r="B25" s="1132" t="s">
        <v>1087</v>
      </c>
      <c r="C25" s="363"/>
      <c r="D25" s="360"/>
      <c r="E25" s="393">
        <f>Worksheet!H53</f>
        <v>274.10068378487676</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265.17813276446861</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- 530 Abington</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34.62603878116343</v>
      </c>
      <c r="AF98" s="40">
        <f t="shared" ref="AF98:AF103" si="0">AE98</f>
        <v>34.62603878116343</v>
      </c>
      <c r="AG98" s="40">
        <f>IF(AE98&lt;&gt;0,AF98/10,0)</f>
        <v>3.4626038781163428</v>
      </c>
      <c r="AH98" s="40">
        <f>IFERROR(AD98*AG98,0)</f>
        <v>34.62603878116343</v>
      </c>
      <c r="AI98" s="40">
        <f t="shared" ref="AI98:AI117" si="1">IF(AG98=0,0,AF98-AH98)</f>
        <v>0</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0.37396121883656508</v>
      </c>
      <c r="AF99" s="40">
        <f t="shared" si="0"/>
        <v>0.37396121883656508</v>
      </c>
      <c r="AG99" s="40">
        <f t="shared" ref="AG99:AG117" si="3">IF(AE99&lt;&gt;0,AF99/10,0)</f>
        <v>3.7396121883656507E-2</v>
      </c>
      <c r="AH99" s="40">
        <f t="shared" ref="AH99:AH106" si="4">IFERROR(AD99*AG99,0)</f>
        <v>0.37396121883656508</v>
      </c>
      <c r="AI99" s="40">
        <f t="shared" si="1"/>
        <v>0</v>
      </c>
      <c r="AJ99">
        <f t="array" aca="1" ref="AJ99" ca="1">SUM(1*(AI99&lt;$AI$98:$AI$117))+1+IF(ROW(AI99)-ROW($AI$98)=0,0,SUM(1*(AI99=OFFSET($AI$98,0,0,INDEX(ROW(AI99)-ROW($AI$98)+1,1)-1,1))))</f>
        <v>6</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7</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8</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9</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10</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13.978790441102456</v>
      </c>
      <c r="AF104" s="75">
        <f t="shared" ref="AF104:AF117" si="8">AE104/$AE$120</f>
        <v>13.978790441102456</v>
      </c>
      <c r="AG104" s="75">
        <f t="shared" si="3"/>
        <v>1.3978790441102455</v>
      </c>
      <c r="AH104" s="75">
        <f t="shared" ref="AH104:AH117" si="9">AD104*AG104</f>
        <v>12.58091139699221</v>
      </c>
      <c r="AI104" s="75">
        <f t="shared" si="1"/>
        <v>1.3978790441102458</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10</v>
      </c>
      <c r="AE105" s="222">
        <f>IF(Worksheet!H24=0,0,12)</f>
        <v>12</v>
      </c>
      <c r="AF105" s="79">
        <f t="shared" si="8"/>
        <v>12</v>
      </c>
      <c r="AG105" s="79">
        <f t="shared" si="3"/>
        <v>1.2</v>
      </c>
      <c r="AH105" s="40">
        <f t="shared" si="4"/>
        <v>12</v>
      </c>
      <c r="AI105" s="79">
        <f t="shared" si="1"/>
        <v>0</v>
      </c>
      <c r="AJ105" s="80">
        <f t="array" aca="1" ref="AJ105" ca="1">SUM(1*(AI105&lt;$AI$98:$AI$117))+1+IF(ROW(AI105)-ROW($AI$98)=0,0,SUM(1*(AI105=OFFSET($AI$98,0,0,INDEX(ROW(AI105)-ROW($AI$98)+1,1)-1,1))))</f>
        <v>11</v>
      </c>
      <c r="AK105" s="87" t="str">
        <f t="shared" si="5"/>
        <v>Billed Unmetered (BUAC)</v>
      </c>
      <c r="AL105" s="80">
        <f t="shared" si="10"/>
        <v>1</v>
      </c>
      <c r="AM105" s="80">
        <f t="shared" si="7"/>
        <v>1</v>
      </c>
      <c r="AN105" s="80">
        <f t="shared" si="2"/>
        <v>0</v>
      </c>
    </row>
    <row r="106" spans="28:40">
      <c r="AC106" s="218" t="s">
        <v>692</v>
      </c>
      <c r="AD106" s="78">
        <f>IF(Worksheet!F25="n/a",0,Worksheet!F25)</f>
        <v>10</v>
      </c>
      <c r="AE106" s="222">
        <f>IF(Worksheet!H25&gt;0,Worksheet!Y24,0)</f>
        <v>2.1209558897545853E-2</v>
      </c>
      <c r="AF106" s="79">
        <f t="shared" si="8"/>
        <v>2.1209558897545853E-2</v>
      </c>
      <c r="AG106" s="79">
        <f t="shared" si="3"/>
        <v>2.1209558897545854E-3</v>
      </c>
      <c r="AH106" s="40">
        <f t="shared" si="4"/>
        <v>2.1209558897545853E-2</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v>
      </c>
      <c r="AG107" s="71">
        <f t="shared" si="3"/>
        <v>0.2</v>
      </c>
      <c r="AH107" s="71">
        <f t="shared" si="9"/>
        <v>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3.5</v>
      </c>
      <c r="AG108" s="71">
        <f t="shared" si="3"/>
        <v>0.35</v>
      </c>
      <c r="AH108" s="71">
        <f t="shared" si="9"/>
        <v>2.8</v>
      </c>
      <c r="AI108" s="71">
        <f t="shared" si="1"/>
        <v>0.70000000000000018</v>
      </c>
      <c r="AJ108" s="72">
        <f t="array" aca="1" ref="AJ108" ca="1">SUM(1*(AI108&lt;$AI$98:$AI$117))+1+IF(ROW(AI108)-ROW($AI$98)=0,0,SUM(1*(AI108=OFFSET($AI$98,0,0,INDEX(ROW(AI108)-ROW($AI$98)+1,1)-1,1))))</f>
        <v>3</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6</v>
      </c>
      <c r="AG109" s="75">
        <f t="shared" si="3"/>
        <v>0.6</v>
      </c>
      <c r="AH109" s="75">
        <f t="shared" si="9"/>
        <v>4.2</v>
      </c>
      <c r="AI109" s="75">
        <f t="shared" si="1"/>
        <v>1.7999999999999998</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3.5</v>
      </c>
      <c r="AG110" s="71">
        <f t="shared" si="3"/>
        <v>0.35</v>
      </c>
      <c r="AH110" s="71">
        <f t="shared" si="9"/>
        <v>3.5</v>
      </c>
      <c r="AI110" s="71">
        <f t="shared" si="1"/>
        <v>0</v>
      </c>
      <c r="AJ110" s="72">
        <f t="array" aca="1" ref="AJ110" ca="1">SUM(1*(AI110&lt;$AI$98:$AI$117))+1+IF(ROW(AI110)-ROW($AI$98)=0,0,SUM(1*(AI110=OFFSET($AI$98,0,0,INDEX(ROW(AI110)-ROW($AI$98)+1,1)-1,1))))</f>
        <v>14</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5</v>
      </c>
      <c r="AG111" s="71">
        <f t="shared" si="3"/>
        <v>0.5</v>
      </c>
      <c r="AH111" s="71">
        <f t="shared" si="9"/>
        <v>5</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5</v>
      </c>
      <c r="AG112" s="71">
        <f t="shared" si="3"/>
        <v>0.5</v>
      </c>
      <c r="AH112" s="71">
        <f t="shared" si="9"/>
        <v>5</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v>
      </c>
      <c r="AG113" s="71">
        <f t="shared" si="3"/>
        <v>0.2</v>
      </c>
      <c r="AH113" s="71">
        <f t="shared" si="9"/>
        <v>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v>
      </c>
      <c r="AG114" s="71">
        <f t="shared" si="3"/>
        <v>0.2</v>
      </c>
      <c r="AH114" s="71">
        <f t="shared" si="9"/>
        <v>1.6</v>
      </c>
      <c r="AI114" s="71">
        <f t="shared" si="1"/>
        <v>0.39999999999999991</v>
      </c>
      <c r="AJ114" s="72">
        <f t="array" aca="1" ref="AJ114" ca="1">SUM(1*(AI114&lt;$AI$98:$AI$117))+1+IF(ROW(AI114)-ROW($AI$98)=0,0,SUM(1*(AI114=OFFSET($AI$98,0,0,INDEX(ROW(AI114)-ROW($AI$98)+1,1)-1,1))))</f>
        <v>4</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5</v>
      </c>
      <c r="AG116" s="71">
        <f t="shared" si="3"/>
        <v>0.5</v>
      </c>
      <c r="AH116" s="71">
        <f t="shared" si="9"/>
        <v>5</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5</v>
      </c>
      <c r="AG117" s="71">
        <f t="shared" si="3"/>
        <v>0.5</v>
      </c>
      <c r="AH117" s="71">
        <f t="shared" si="9"/>
        <v>5</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100</v>
      </c>
      <c r="AF118" s="39">
        <f>SUM(AF98:AF117)</f>
        <v>100</v>
      </c>
      <c r="AG118" s="39">
        <f>SUM(AG98:AG117)</f>
        <v>9.9999999999999964</v>
      </c>
      <c r="AH118" s="93">
        <f>SUM(AH98:AH117)</f>
        <v>95.702120955889754</v>
      </c>
      <c r="AN118" s="43">
        <f>SUM(AN98:AN117)</f>
        <v>0</v>
      </c>
    </row>
    <row r="119" spans="29:40">
      <c r="AE119" s="39">
        <f>SUM(AE104:AE117)</f>
        <v>65</v>
      </c>
      <c r="AK119" s="89"/>
      <c r="AN119" s="42"/>
    </row>
    <row r="120" spans="29:40">
      <c r="AE120" s="38">
        <f>AE119/(100-AE121)</f>
        <v>1</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20" zoomScale="115" zoomScaleNormal="115" zoomScaleSheetLayoutView="100" workbookViewId="0">
      <selection activeCell="D20" sqref="D20:L20"/>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13693F-5DB8-4F97-B413-CE6DC6472B73}"/>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2026-03-10T15:16:37Z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