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17" documentId="8_{416E8786-2F92-4F81-B5D5-126D74BD1469}" xr6:coauthVersionLast="47" xr6:coauthVersionMax="47" xr10:uidLastSave="{185B020A-AC95-43A7-B955-89B2ABB2AA4E}"/>
  <workbookProtection workbookPassword="FDB7" lockStructure="1"/>
  <bookViews>
    <workbookView xWindow="28680" yWindow="-120" windowWidth="29040" windowHeight="1572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<sst xmlns="http://schemas.openxmlformats.org/spreadsheetml/2006/main" count="2548" uniqueCount="1284">
  <si>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</si>
  <si>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</si>
  <si>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</si>
  <si>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</si>
  <si>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</si>
  <si>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</si>
  <si>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</si>
  <si>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</si>
  <si>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</si>
  <si>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</si>
  <si>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</si>
  <si>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</si>
  <si>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</si>
  <si>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</si>
  <si>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</si>
  <si>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</si>
  <si>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</si>
  <si>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</si>
  <si>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</si>
  <si>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</si>
  <si>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</si>
  <si>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</si>
  <si>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</si>
  <si>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</si>
  <si>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</si>
  <si>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</si>
  <si>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</si>
  <si>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</si>
  <si>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</si>
  <si>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</si>
  <si>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</si>
  <si>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</si>
  <si>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</si>
  <si>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</si>
  <si>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</si>
  <si>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</si>
  <si>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</si>
  <si>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</si>
  <si>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</si>
  <si>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</si>
  <si>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</si>
  <si>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</si>
  <si>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</si>
  <si>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</si>
  <si>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</si>
  <si>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</si>
  <si>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</si>
  <si>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</si>
  <si>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</si>
  <si>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</si>
  <si>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</si>
  <si>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</si>
  <si>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</si>
  <si>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</si>
  <si>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</si>
  <si>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</si>
  <si>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</si>
  <si>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</si>
  <si>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</si>
  <si>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</si>
  <si>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</si>
  <si>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</si>
  <si>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</si>
  <si>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</si>
  <si>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</si>
  <si>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</si>
  <si>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</si>
  <si>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</si>
  <si>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</si>
  <si>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</si>
  <si>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</si>
  <si>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</si>
  <si>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</si>
  <si>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</si>
  <si>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</si>
  <si>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</si>
  <si>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</si>
  <si>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</si>
  <si>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</si>
  <si>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</si>
  <si>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</si>
  <si>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</si>
  <si>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</si>
  <si>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</si>
  <si>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</si>
  <si>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</si>
  <si>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</si>
  <si>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</si>
  <si>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</si>
  <si>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</si>
  <si>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</si>
  <si>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</si>
  <si>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</si>
  <si>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</si>
  <si>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</si>
  <si>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</si>
  <si>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</si>
  <si>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</si>
  <si>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</si>
  <si>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</si>
  <si>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</si>
  <si>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</si>
  <si>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</si>
  <si>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</si>
  <si>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</si>
  <si>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</si>
  <si>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</si>
  <si>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</si>
  <si>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</si>
  <si>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</si>
  <si>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</si>
  <si>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</si>
  <si>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</si>
  <si>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</si>
  <si>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</si>
  <si>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</si>
  <si>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</si>
  <si>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</si>
  <si>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</si>
  <si>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</si>
  <si>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</si>
  <si>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</si>
  <si>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</si>
  <si>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</si>
  <si>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</si>
  <si>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</si>
  <si>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</si>
  <si>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</si>
  <si>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</si>
  <si>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</si>
  <si>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</si>
  <si>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</si>
  <si>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</si>
  <si>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</si>
  <si>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</si>
  <si>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</si>
  <si>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</si>
  <si>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</si>
  <si>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</si>
  <si>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</si>
  <si>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</si>
  <si>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</si>
  <si>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</si>
  <si>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</si>
  <si>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</si>
  <si>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</si>
  <si>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</si>
  <si>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</si>
  <si>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</si>
  <si>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</si>
  <si>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</si>
  <si>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</si>
  <si>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</si>
  <si>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</si>
  <si>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</si>
  <si>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</si>
  <si>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</si>
  <si>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</si>
  <si>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</si>
  <si>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</si>
  <si>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</si>
  <si>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</si>
  <si>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</si>
  <si>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</si>
  <si>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</si>
  <si>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</si>
  <si>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</si>
  <si>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</si>
  <si>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</si>
  <si>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</si>
  <si>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</si>
  <si>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</si>
  <si>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</si>
  <si>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</si>
  <si>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</si>
  <si>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</si>
  <si>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</si>
  <si>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</si>
  <si>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</si>
  <si>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</si>
  <si>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</si>
  <si>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</si>
  <si>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</si>
  <si>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</si>
  <si>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</si>
  <si>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</si>
  <si>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</si>
  <si>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</si>
  <si>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</si>
  <si>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</si>
  <si>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</si>
  <si>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</si>
  <si>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</si>
  <si>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</si>
  <si>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</si>
  <si>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</si>
  <si>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</si>
  <si>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</si>
  <si>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</si>
  <si>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</si>
  <si>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</si>
  <si>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</si>
  <si>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</si>
  <si>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</si>
  <si>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</si>
  <si>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</si>
  <si>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</si>
  <si>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</si>
  <si>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</si>
  <si>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</si>
  <si>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</si>
  <si>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</si>
  <si>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</si>
  <si>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</si>
  <si>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</si>
  <si>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</si>
  <si>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</si>
  <si>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</si>
  <si>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</si>
  <si>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</si>
  <si>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</si>
  <si>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</si>
  <si>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</si>
  <si>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</si>
  <si>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</si>
  <si>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</si>
  <si>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</si>
  <si>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</si>
  <si>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</si>
  <si>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</si>
  <si>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</si>
  <si>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</si>
  <si>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</si>
  <si>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</si>
  <si>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</si>
  <si>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</si>
  <si>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</si>
  <si>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</si>
  <si>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</si>
  <si>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</si>
  <si>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</si>
  <si>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</si>
  <si>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</si>
  <si>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</si>
  <si>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</si>
  <si>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</si>
  <si>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</si>
  <si>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</si>
  <si>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</si>
  <si>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</si>
  <si>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</si>
  <si>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</si>
  <si>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</si>
  <si>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</si>
  <si>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</si>
  <si>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</si>
  <si>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</si>
  <si>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</si>
  <si>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</si>
  <si>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</si>
  <si>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</si>
  <si>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</si>
  <si>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</si>
  <si>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</si>
  <si>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</si>
  <si>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</si>
  <si>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</si>
  <si>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</si>
  <si>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</si>
  <si>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</si>
  <si>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</si>
  <si>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</si>
  <si>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</si>
  <si>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</si>
  <si>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</si>
  <si>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</si>
  <si>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</si>
  <si>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</si>
  <si>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</si>
  <si>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</si>
  <si>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</si>
  <si>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</si>
  <si>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</si>
  <si>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</si>
  <si>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</si>
  <si>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</si>
  <si>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</si>
  <si>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</si>
  <si>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</si>
  <si>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</si>
  <si>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</si>
  <si>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</si>
  <si>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</si>
  <si>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</si>
  <si>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</si>
  <si>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</si>
  <si>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</si>
  <si>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</si>
  <si>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</si>
  <si>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</si>
  <si>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</si>
  <si>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</si>
  <si>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</si>
  <si>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</si>
  <si>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</si>
  <si>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</si>
  <si>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</si>
  <si>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</si>
  <si>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</si>
  <si>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</si>
  <si>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</si>
  <si>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</si>
  <si>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</si>
  <si>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</si>
  <si>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</si>
  <si>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</si>
  <si>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</si>
  <si>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</si>
  <si>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</si>
  <si>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</si>
  <si>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</si>
  <si>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</si>
  <si>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</si>
  <si>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</si>
  <si>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</si>
  <si>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</si>
  <si>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</si>
  <si>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</si>
  <si>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</si>
  <si>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</si>
  <si>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</si>
  <si>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</si>
  <si>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</si>
  <si>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</si>
  <si>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</si>
  <si>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</si>
  <si>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</si>
  <si>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</si>
  <si>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</si>
  <si>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</si>
  <si>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</si>
  <si>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</si>
  <si>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</si>
  <si>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</si>
  <si>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</si>
  <si>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</si>
  <si>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</si>
  <si>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</si>
  <si>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</si>
  <si>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</si>
  <si>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</si>
  <si>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</si>
  <si>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</si>
  <si>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</si>
  <si>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</si>
  <si>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</si>
  <si>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</si>
  <si>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</si>
  <si>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</si>
  <si>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</si>
  <si>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</si>
  <si>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</si>
  <si>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</si>
  <si>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</si>
  <si>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</si>
  <si>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</si>
  <si>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</si>
  <si>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</si>
  <si>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</si>
  <si>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</si>
  <si>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</si>
  <si>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</si>
  <si>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</si>
  <si>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</si>
  <si>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</si>
  <si>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</si>
  <si>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</si>
  <si>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</si>
  <si>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</si>
  <si>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</si>
  <si>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</si>
  <si>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</si>
  <si>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</si>
  <si>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</si>
  <si>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</si>
  <si>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</si>
  <si>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</si>
  <si>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</si>
  <si>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</si>
  <si>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</si>
  <si>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</si>
  <si>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</si>
  <si>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</si>
  <si>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</si>
  <si>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</si>
  <si>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</si>
  <si>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</si>
  <si>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</si>
  <si>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</si>
  <si>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</si>
  <si>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</si>
  <si>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</si>
  <si>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</si>
  <si>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</si>
  <si>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</si>
  <si>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</si>
  <si>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</si>
  <si>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</si>
  <si>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</si>
  <si>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</si>
  <si>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</si>
  <si>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</si>
  <si>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</si>
  <si>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</si>
  <si>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</si>
  <si>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</si>
  <si>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</si>
  <si>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</si>
  <si>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</si>
  <si>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</si>
  <si>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</si>
  <si>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</si>
  <si>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</si>
  <si>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</si>
  <si>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</si>
  <si>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</si>
  <si>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</si>
  <si>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</si>
  <si>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</si>
  <si>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</si>
  <si>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</si>
  <si>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</si>
  <si>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</si>
  <si>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</si>
  <si>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</si>
  <si>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</si>
  <si>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</si>
  <si>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</si>
  <si>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</si>
  <si>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</si>
  <si>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</si>
  <si>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</si>
  <si>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</si>
  <si>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</si>
  <si>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</si>
  <si>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</si>
  <si>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</si>
  <si>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</si>
  <si>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</si>
  <si>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</si>
  <si>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</si>
  <si>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</si>
  <si>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</si>
  <si>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</si>
  <si>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</si>
  <si>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</si>
  <si>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</si>
  <si>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</si>
  <si>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</si>
  <si>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</si>
  <si>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</si>
  <si>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</si>
  <si>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</si>
  <si>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</si>
  <si>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</si>
  <si>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</si>
  <si>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</si>
  <si>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</si>
  <si>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</si>
  <si>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</si>
  <si>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</si>
  <si>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</si>
  <si>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</si>
  <si>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</si>
  <si>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</si>
  <si>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</si>
  <si>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</si>
  <si>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</si>
  <si>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</si>
  <si>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</si>
  <si>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</si>
  <si>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</si>
  <si>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</si>
  <si>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</si>
  <si>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</si>
  <si>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</si>
  <si>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</si>
  <si>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</si>
  <si>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</si>
  <si>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</si>
  <si>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</si>
  <si>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</si>
  <si>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</si>
  <si>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</si>
  <si>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</si>
  <si>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</si>
  <si>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</si>
  <si>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</si>
  <si>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</si>
  <si>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</si>
  <si>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</si>
  <si>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</si>
  <si>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</si>
  <si>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</si>
  <si>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</si>
  <si>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</si>
  <si>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</si>
  <si>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</si>
  <si>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</si>
  <si>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</si>
  <si>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</si>
  <si>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</si>
  <si>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</si>
  <si>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</si>
  <si>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</si>
  <si>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</si>
  <si>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</si>
  <si>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</si>
  <si>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</si>
  <si>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</si>
  <si>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</si>
  <si>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</si>
  <si>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</si>
  <si>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</si>
  <si>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</si>
  <si>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</si>
  <si>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</si>
  <si>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</si>
  <si>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</si>
  <si>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</si>
  <si>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</si>
  <si>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</si>
  <si>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</si>
  <si>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</si>
  <si>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</si>
  <si>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</si>
  <si>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</si>
  <si>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</si>
  <si>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</si>
  <si>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</si>
  <si>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</si>
  <si>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</si>
  <si>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</si>
  <si>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</si>
  <si>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</si>
  <si>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</si>
  <si>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</si>
  <si>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</si>
  <si>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</si>
  <si>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</si>
  <si>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</si>
  <si>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</si>
  <si>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</si>
  <si>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</si>
  <si>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</si>
  <si>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</si>
  <si>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</si>
  <si>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</si>
  <si>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</si>
  <si>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</si>
  <si>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</si>
  <si>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</si>
  <si>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</si>
  <si>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</si>
  <si>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</si>
  <si>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</si>
  <si>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</si>
  <si>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</si>
  <si>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</si>
  <si>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</si>
  <si>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</si>
  <si>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</si>
  <si>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</si>
  <si>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</si>
  <si>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</si>
  <si>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</si>
  <si>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</si>
  <si>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</si>
  <si>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</si>
  <si>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</si>
  <si>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</si>
  <si>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</si>
  <si>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</si>
  <si>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</si>
  <si>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</si>
  <si>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</si>
  <si>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</si>
  <si>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</si>
  <si>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</si>
  <si>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</si>
  <si>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</si>
  <si>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</si>
  <si>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</si>
  <si>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</si>
  <si>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</si>
  <si>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</si>
  <si>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</si>
  <si>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</si>
  <si>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</si>
  <si>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</si>
  <si>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</si>
  <si>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</si>
  <si>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</si>
  <si>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</si>
  <si>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</si>
  <si>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</si>
  <si>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</si>
  <si>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</si>
  <si>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</si>
  <si>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</si>
  <si>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</si>
  <si>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</si>
  <si>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</si>
  <si>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</si>
  <si>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</si>
  <si>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</si>
  <si>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</si>
  <si>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</si>
  <si>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</si>
  <si>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</si>
  <si>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</si>
  <si>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</si>
  <si>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</si>
  <si>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</si>
  <si>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</si>
  <si>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</si>
  <si>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</si>
  <si>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</si>
  <si>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</si>
  <si>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</si>
  <si>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</si>
  <si>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</si>
  <si>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</si>
  <si>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</si>
  <si>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</si>
  <si>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</si>
  <si>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</si>
  <si>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</si>
  <si>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</si>
  <si>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</si>
  <si>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</si>
  <si>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</si>
  <si>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</si>
  <si>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</si>
  <si>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</si>
  <si>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</si>
  <si>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</si>
  <si>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</si>
  <si>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</si>
  <si>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</si>
  <si>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</si>
  <si>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</si>
  <si>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</si>
  <si>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</si>
  <si>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</si>
  <si>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</si>
  <si>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</si>
  <si>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</si>
  <si>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</si>
  <si>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</si>
  <si>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</si>
  <si>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</si>
  <si>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</si>
  <si>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</si>
  <si>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</si>
  <si>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</si>
  <si>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</si>
  <si>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</si>
  <si>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</si>
  <si>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</si>
  <si>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</si>
  <si>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</si>
  <si>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</si>
  <si>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</si>
  <si>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</si>
  <si>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</si>
  <si>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</si>
  <si>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</si>
  <si>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</si>
  <si>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</si>
  <si>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</si>
  <si>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</si>
  <si>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</si>
  <si>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</si>
  <si>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</si>
  <si>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</si>
  <si>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</si>
  <si>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</si>
  <si>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</si>
  <si>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</si>
  <si>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</si>
  <si>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</si>
  <si>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</si>
  <si>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</si>
  <si>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</si>
  <si>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</si>
  <si>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</si>
  <si>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</si>
  <si>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</si>
  <si>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</si>
  <si>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</si>
  <si>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</si>
  <si>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</si>
  <si>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</si>
  <si>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</si>
  <si>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</si>
  <si>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</si>
  <si>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</si>
  <si>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</si>
  <si>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</si>
  <si>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</si>
  <si>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</si>
  <si>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</si>
  <si>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</si>
  <si>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</si>
  <si>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</si>
  <si>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</si>
  <si>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</si>
  <si>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</si>
  <si>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</si>
  <si>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</si>
  <si>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</si>
  <si>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</si>
  <si>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</si>
  <si>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</si>
  <si>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</si>
  <si>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</si>
  <si>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</si>
  <si>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</si>
  <si>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</si>
  <si>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</si>
  <si>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</si>
  <si>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</si>
  <si>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</si>
  <si>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</si>
  <si>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</si>
  <si>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</si>
  <si>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</si>
  <si>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</si>
  <si>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</si>
  <si>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</si>
  <si>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</si>
  <si>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</si>
  <si>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</si>
  <si>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</si>
  <si>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</si>
  <si>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</si>
  <si>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</si>
  <si>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</si>
  <si>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</si>
  <si>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</si>
  <si>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</si>
  <si>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</si>
  <si>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</si>
  <si>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</si>
  <si>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</si>
  <si>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</si>
  <si>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</si>
  <si>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</si>
  <si>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</si>
  <si>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</si>
  <si>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</si>
  <si>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</si>
  <si>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</si>
  <si>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</si>
  <si>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</si>
  <si>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</si>
  <si>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</si>
  <si>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</si>
  <si>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</si>
  <si>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</si>
  <si>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</si>
  <si>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</si>
  <si>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</si>
  <si>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</si>
  <si>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</si>
  <si>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</si>
  <si>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</si>
  <si>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</si>
  <si>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</si>
  <si>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</si>
  <si>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</si>
  <si>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</si>
  <si>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</si>
  <si>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</si>
  <si>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</si>
  <si>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</si>
  <si>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</si>
  <si>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</si>
  <si>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</si>
  <si>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</si>
  <si>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</si>
  <si>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</si>
  <si>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</si>
  <si>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</si>
  <si>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</si>
  <si>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</si>
  <si>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</si>
  <si>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</si>
  <si>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</si>
  <si>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</si>
  <si>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</si>
  <si>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</si>
  <si>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</si>
  <si>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</si>
  <si>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</si>
  <si>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</si>
  <si>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</si>
  <si>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</si>
  <si>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</si>
  <si>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</si>
  <si>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</si>
  <si>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</si>
  <si>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</si>
  <si>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</si>
  <si>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</si>
  <si>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</si>
  <si>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</si>
  <si>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</si>
  <si>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</si>
  <si>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</si>
  <si>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</si>
  <si>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</si>
  <si>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</si>
  <si>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</si>
  <si>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</si>
  <si>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</si>
  <si>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</si>
  <si>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</si>
  <si>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</si>
  <si>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</si>
  <si>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</si>
  <si>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</si>
  <si>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</si>
  <si>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</si>
  <si>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</si>
  <si>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</si>
  <si>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</si>
  <si>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</si>
  <si>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</si>
  <si>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</si>
  <si>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</si>
  <si>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</si>
  <si>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</si>
  <si>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</si>
  <si>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</si>
  <si>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</si>
  <si>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</si>
  <si>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</si>
  <si>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</si>
  <si>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</si>
  <si>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</si>
  <si>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</si>
  <si>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</si>
  <si>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</si>
  <si>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</si>
  <si>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</si>
  <si>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</si>
  <si>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</si>
  <si>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</si>
  <si>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</si>
  <si>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</si>
  <si>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</si>
  <si>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</si>
  <si>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</si>
  <si>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</si>
  <si>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</si>
  <si>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</si>
  <si>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</si>
  <si>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</si>
  <si>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</si>
  <si>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</si>
  <si>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</si>
  <si>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</si>
  <si>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</si>
  <si>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</si>
  <si>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</si>
  <si>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</si>
  <si>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</si>
  <si>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</si>
  <si>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</si>
  <si>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</si>
  <si>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</si>
  <si>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</si>
  <si>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</si>
  <si>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</si>
  <si>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</si>
  <si>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</si>
  <si>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</si>
  <si>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</si>
  <si>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</si>
  <si>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</si>
  <si>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</si>
  <si>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</si>
  <si>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</si>
  <si>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</si>
  <si>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</si>
  <si>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</si>
  <si>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</si>
  <si>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</si>
  <si>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</si>
  <si>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</si>
  <si>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</si>
  <si>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</si>
  <si>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</si>
  <si>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</si>
  <si>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</si>
  <si>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</si>
  <si>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</si>
  <si>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</si>
  <si>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</si>
  <si>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</si>
  <si>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</si>
  <si>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</si>
  <si>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</si>
  <si>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</si>
  <si>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</si>
  <si>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</si>
  <si>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</si>
  <si>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</si>
  <si>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</si>
  <si>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</si>
  <si>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</si>
  <si>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</si>
  <si>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</si>
  <si>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</si>
  <si>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</si>
  <si>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</si>
  <si>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</si>
  <si>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</si>
  <si>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</si>
  <si>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</si>
  <si>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</si>
  <si>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</si>
  <si>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</si>
  <si>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</si>
  <si>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</si>
  <si>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</si>
  <si>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</si>
  <si>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</si>
  <si>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</si>
  <si>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</si>
  <si>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</si>
  <si>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</si>
  <si>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</si>
  <si>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</si>
  <si>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</si>
  <si>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</si>
  <si>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</si>
  <si>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</si>
  <si>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</si>
  <si>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</si>
  <si>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</si>
  <si>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</si>
  <si>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</si>
  <si>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</si>
  <si>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</si>
  <si>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</si>
  <si>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</si>
  <si>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</si>
  <si>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</si>
  <si>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</si>
  <si>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</si>
  <si>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</si>
  <si>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</si>
  <si>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</si>
  <si>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</si>
  <si>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</si>
  <si>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</si>
  <si>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</si>
  <si>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</si>
  <si>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</si>
  <si>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</si>
  <si>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</si>
  <si>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</si>
  <si>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</si>
  <si>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</si>
  <si>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</si>
  <si>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</si>
  <si>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</si>
  <si>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</si>
  <si>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</si>
  <si>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</si>
  <si>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</si>
  <si>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</si>
  <si>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</si>
  <si>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</si>
  <si>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</si>
  <si>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</si>
  <si>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</si>
  <si>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</si>
  <si>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</si>
  <si>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</si>
  <si>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</si>
  <si>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</si>
  <si>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</si>
  <si>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</si>
  <si>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</si>
  <si>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</si>
  <si>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</si>
  <si>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</si>
  <si>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</si>
  <si>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</si>
  <si>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</si>
  <si>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</si>
  <si>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</si>
  <si>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</si>
  <si>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</si>
  <si>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</si>
  <si>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</si>
  <si>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</si>
  <si>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</si>
  <si>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</si>
  <si>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</si>
  <si>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</si>
  <si>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</si>
  <si>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</si>
  <si>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</si>
  <si>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</si>
  <si>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</si>
  <si>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</si>
  <si>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</si>
  <si>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</si>
  <si>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</si>
  <si>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</si>
  <si>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</si>
  <si>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</si>
  <si>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</si>
  <si>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</si>
  <si>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</si>
  <si>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</si>
  <si>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</si>
  <si>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</si>
  <si>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</si>
  <si>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</si>
  <si>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</si>
  <si>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</si>
  <si>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</si>
  <si>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</si>
  <si>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</si>
  <si>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</si>
  <si>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</si>
  <si>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</si>
  <si>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</si>
  <si>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</si>
  <si>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</si>
  <si>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</si>
  <si>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</si>
  <si>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</si>
  <si>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</si>
  <si>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</si>
  <si>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</si>
  <si>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</si>
  <si>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</si>
  <si>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</si>
  <si>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</si>
  <si>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</si>
  <si>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</si>
  <si>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</si>
  <si>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</si>
  <si>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</si>
  <si>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</si>
  <si>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</si>
  <si>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</si>
  <si>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</si>
  <si>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</si>
  <si>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</si>
  <si>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</si>
  <si>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</si>
  <si>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</si>
  <si>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</si>
  <si>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</si>
  <si>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</si>
  <si>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</si>
  <si>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</si>
  <si>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</si>
  <si>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</si>
  <si>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</si>
  <si>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</si>
  <si>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</si>
  <si>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</si>
  <si>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</si>
  <si>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</si>
  <si>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</si>
  <si>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</si>
  <si>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</si>
  <si>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</si>
  <si>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</si>
  <si>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</si>
  <si>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</si>
  <si>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</si>
  <si>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</si>
  <si>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</si>
  <si>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</si>
  <si>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</si>
  <si>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</si>
  <si>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</si>
  <si>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</si>
  <si>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</si>
  <si>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</si>
  <si>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</si>
  <si>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</si>
  <si>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</si>
  <si>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</si>
  <si>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</si>
  <si>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</si>
  <si>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</si>
  <si>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</si>
  <si>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</si>
  <si>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</si>
  <si>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</si>
  <si>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</si>
  <si>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</si>
  <si>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</si>
  <si>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</si>
  <si>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</si>
  <si>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</si>
  <si>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</si>
  <si>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</si>
  <si>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</si>
  <si>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</si>
  <si>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</si>
  <si>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</si>
  <si>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</si>
  <si>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</si>
  <si>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</si>
  <si>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</si>
  <si>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</si>
  <si>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</si>
  <si>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</si>
  <si>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</si>
  <si>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</si>
  <si>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</si>
  <si>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</si>
  <si>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</si>
  <si>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</si>
  <si>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</si>
  <si>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</si>
  <si>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</si>
  <si>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</si>
  <si>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</si>
  <si>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</si>
  <si>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</si>
  <si>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</si>
  <si>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</si>
  <si>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</si>
  <si>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</si>
  <si>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</si>
  <si>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</si>
  <si>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</si>
  <si>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</si>
  <si>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</si>
  <si>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</si>
  <si>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</si>
  <si>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</si>
  <si>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</si>
  <si>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</si>
  <si>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</si>
  <si>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</si>
  <si>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</si>
  <si>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</si>
  <si>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</si>
  <si>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</si>
  <si>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</si>
  <si>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</si>
  <si>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</si>
  <si>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</si>
  <si>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</si>
  <si>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</si>
  <si>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</si>
  <si>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</si>
  <si>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</si>
  <si>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</si>
  <si>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</si>
  <si>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</si>
  <si>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</si>
  <si>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</si>
  <si>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</si>
  <si>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</si>
  <si>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</si>
  <si>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</si>
  <si>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</si>
  <si>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</si>
  <si>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</si>
  <si>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</si>
  <si>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</si>
  <si>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</si>
  <si>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</si>
  <si>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</si>
  <si>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</si>
  <si>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</si>
  <si>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</si>
  <si>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</si>
  <si>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</si>
  <si>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</si>
  <si>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</si>
  <si>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</si>
  <si>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</si>
  <si>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</si>
  <si>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</si>
  <si>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</si>
  <si>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</si>
  <si>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</si>
  <si>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</si>
  <si>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</si>
  <si>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</si>
  <si>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</si>
  <si>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</si>
  <si>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</si>
  <si>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</si>
  <si>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</si>
  <si>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</si>
  <si>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</si>
  <si>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</si>
  <si>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</si>
  <si>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</si>
  <si>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</si>
  <si>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</si>
  <si>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</si>
  <si>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</si>
  <si>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</si>
  <si>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</si>
  <si>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</si>
  <si>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</si>
  <si>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</si>
  <si>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</si>
  <si>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</si>
  <si>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</si>
  <si>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</si>
  <si>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</si>
  <si>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</si>
  <si>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</si>
  <si>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</si>
  <si>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</si>
  <si>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</si>
  <si>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</si>
  <si>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</si>
  <si>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</si>
  <si>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</si>
  <si>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</si>
  <si>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</si>
  <si>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</si>
  <si>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</si>
  <si>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</si>
  <si>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</si>
  <si>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</si>
  <si>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</si>
  <si>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</si>
  <si>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</si>
  <si>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</si>
  <si>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</si>
  <si>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</si>
  <si>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</si>
  <si>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</si>
  <si>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</si>
  <si>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</si>
  <si>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</si>
  <si>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</si>
  <si>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</si>
  <si>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</si>
  <si>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</si>
  <si>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</si>
  <si>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</si>
  <si>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</si>
  <si>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</si>
  <si>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</si>
  <si>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</si>
  <si>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</si>
  <si>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</si>
  <si>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</si>
  <si>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</si>
  <si>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</si>
  <si>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</si>
  <si>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</si>
  <si>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</si>
  <si>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- 540 Susquehanna</t>
  </si>
  <si>
    <t>James Baer</t>
  </si>
  <si>
    <t>james.baer@amwater.com</t>
  </si>
  <si>
    <t>610-842-3118</t>
  </si>
  <si>
    <t>Susquehanna</t>
  </si>
  <si>
    <t>USA</t>
  </si>
  <si>
    <t>Calendar</t>
  </si>
  <si>
    <t>2580024, 2580026, 2580023</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</si>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</sst>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84.48917304189429</c:v>
                </c:pt>
                <c:pt idx="1">
                  <c:v>2.0024160337996988</c:v>
                </c:pt>
                <c:pt idx="2">
                  <c:v>163.81041514926835</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11.784789741923714</c:v>
                </c:pt>
                <c:pt idx="1">
                  <c:v>0.26113598867139654</c:v>
                </c:pt>
                <c:pt idx="2">
                  <c:v>20.59607285332946</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57.801400497346833</c:v>
                </c:pt>
                <c:pt idx="1">
                  <c:v>0.92482240795754933</c:v>
                </c:pt>
                <c:pt idx="2">
                  <c:v>56.876578089389284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35.54734395994759</c:v>
                </c:pt>
                <c:pt idx="1">
                  <c:v>0.56875750335916142</c:v>
                </c:pt>
                <c:pt idx="2">
                  <c:v>34.978586456588431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95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0.3</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1.74</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10.196999999999999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2.5034693877550991</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0.27700000000000002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80.06243041184409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$354,906/Yr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538.899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3125.6142</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163050.03</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39943.575489795876</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4429.2300000000005</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143818.54562170789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26.865808526427514</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3.2045507194289082</c:v>
                </c:pt>
                <c:pt idx="1">
                  <c:v>9.0856271993300333E-2</c:v>
                </c:pt>
                <c:pt idx="2">
                  <c:v>8.0616270077403342</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72.704383299970573</c:v>
                </c:pt>
                <c:pt idx="1">
                  <c:v>1.8469276802355887</c:v>
                </c:pt>
                <c:pt idx="2">
                  <c:v>156.3146490492424</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3649.7358471882062</c:v>
                </c:pt>
                <c:pt idx="1">
                  <c:v>97.186039594358903</c:v>
                </c:pt>
                <c:pt idx="2" formatCode="_(* #,##0_);_(* \(#,##0\);_(* &quot;-&quot;??_);_(@_)">
                  <c:v>8401.3330625122962</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AOP"/><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L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image" Target="../media/image9.emf"/><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N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VPC"/><Relationship Id="rId5" Type="http://schemas.openxmlformats.org/officeDocument/2006/relationships/image" Target="../media/image5.emf"/><Relationship Id="rId15" Type="http://schemas.openxmlformats.org/officeDocument/2006/relationships/hyperlink" Target="#'Interactive Data Grading'!VOS"/><Relationship Id="rId23" Type="http://schemas.openxmlformats.org/officeDocument/2006/relationships/image" Target="../media/image8.emf"/><Relationship Id="rId10" Type="http://schemas.openxmlformats.org/officeDocument/2006/relationships/image" Target="../media/image7.emf"/><Relationship Id="rId19" Type="http://schemas.openxmlformats.org/officeDocument/2006/relationships/hyperlink" Target="#'Interactive Data Grading'!Lm"/><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CRUC"/><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361"/>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362"/>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363"/>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364"/>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365"/>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366"/>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367"/>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368"/>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369"/>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370"/>
                  </a:ext>
                </a:extLst>
              </xdr:cNvPicPr>
            </xdr:nvPicPr>
            <xdr:blipFill rotWithShape="1">
              <a:blip xmlns:r="http://schemas.openxmlformats.org/officeDocument/2006/relationships" r:embed="rId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371"/>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372"/>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373"/>
                  </a:ext>
                </a:extLst>
              </xdr:cNvPicPr>
            </xdr:nvPicPr>
            <xdr:blipFill rotWithShape="1">
              <a:blip xmlns:r="http://schemas.openxmlformats.org/officeDocument/2006/relationships" r:embed="rId5"/>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8"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374"/>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9"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375"/>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0"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376"/>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1"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377"/>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2"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378"/>
                  </a:ext>
                </a:extLst>
              </xdr:cNvPicPr>
            </xdr:nvPicPr>
            <xdr:blipFill rotWithShape="1">
              <a:blip xmlns:r="http://schemas.openxmlformats.org/officeDocument/2006/relationships" r:embed="rId23"/>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4"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379"/>
                  </a:ext>
                </a:extLst>
              </xdr:cNvPicPr>
            </xdr:nvPicPr>
            <xdr:blipFill rotWithShape="1">
              <a:blip xmlns:r="http://schemas.openxmlformats.org/officeDocument/2006/relationships" r:embed="rId25"/>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5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893946" cy="3758429"/>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79.2">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13" activePane="bottomLeft" state="frozen"/>
      <selection pane="bottomLeft" activeCell="X21" sqref="X21"/>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0" t="s">
        <v>1191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2"/>
      <c r="AJ2" s="982"/>
      <c r="AK2" s="982"/>
      <c r="AL2" s="982"/>
      <c r="AM2" s="982"/>
      <c r="AN2" s="982"/>
      <c r="AO2" s="982"/>
      <c r="AP2" s="982"/>
      <c r="AQ2" s="982"/>
      <c r="AR2" s="982"/>
      <c r="AS2" s="982"/>
      <c r="AT2" s="982"/>
      <c r="AU2" s="982"/>
      <c r="AV2" s="982"/>
      <c r="AW2" s="982"/>
      <c r="AX2" s="982"/>
      <c r="AY2" s="982"/>
      <c r="AZ2" s="982"/>
      <c r="BA2" s="982"/>
      <c r="BB2" s="983"/>
      <c r="BC2" s="92"/>
    </row>
    <row r="3" spans="1:55" s="46" customFormat="1" ht="12.9" customHeight="1">
      <c r="A3" s="91"/>
      <c r="B3" s="991" t="s">
        <v>1242</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3"/>
      <c r="BC3" s="91"/>
    </row>
    <row r="4" spans="1:55" s="46" customFormat="1" ht="12.9" customHeight="1">
      <c r="A4" s="91"/>
      <c r="B4" s="99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3"/>
      <c r="BC4" s="91"/>
    </row>
    <row r="5" spans="1:55" s="46" customFormat="1" ht="12.9" customHeight="1">
      <c r="A5" s="91"/>
      <c r="B5" s="99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3"/>
      <c r="BC5" s="91"/>
    </row>
    <row r="6" spans="1:55" s="46" customFormat="1" ht="12.9" customHeight="1">
      <c r="A6" s="91"/>
      <c r="B6" s="99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3"/>
      <c r="BC6" s="91"/>
    </row>
    <row r="7" spans="1:55" s="46" customFormat="1" ht="12.9" customHeight="1">
      <c r="A7" s="91"/>
      <c r="B7" s="626"/>
      <c r="C7" s="988" t="s">
        <v>1213</v>
      </c>
      <c r="D7" s="988"/>
      <c r="E7" s="988"/>
      <c r="F7" s="988"/>
      <c r="G7" s="988"/>
      <c r="H7" s="988"/>
      <c r="I7" s="988"/>
      <c r="J7" s="988"/>
      <c r="K7" s="988"/>
      <c r="L7" s="988"/>
      <c r="M7" s="988"/>
      <c r="N7" s="988"/>
      <c r="O7" s="988"/>
      <c r="P7" s="988"/>
      <c r="Q7" s="988"/>
      <c r="R7" s="988"/>
      <c r="S7" s="988"/>
      <c r="T7" s="988"/>
      <c r="U7" s="984" t="s">
        <v>1015</v>
      </c>
      <c r="V7" s="984"/>
      <c r="W7" s="984"/>
      <c r="X7" s="984"/>
      <c r="Y7" s="984"/>
      <c r="Z7" s="984"/>
      <c r="AA7" s="984"/>
      <c r="AB7" s="984"/>
      <c r="AC7" s="984"/>
      <c r="AD7" s="984"/>
      <c r="AE7" s="984"/>
      <c r="AF7" s="984"/>
      <c r="AG7" s="984"/>
      <c r="AH7" s="984"/>
      <c r="AI7" s="984"/>
      <c r="AJ7" s="984"/>
      <c r="AK7" s="984"/>
      <c r="AL7" s="984"/>
      <c r="AM7" s="984"/>
      <c r="AN7" s="158"/>
      <c r="AO7" s="984" t="s">
        <v>929</v>
      </c>
      <c r="AP7" s="984"/>
      <c r="AQ7" s="984"/>
      <c r="AR7" s="984"/>
      <c r="AS7" s="984"/>
      <c r="AT7" s="984"/>
      <c r="AU7" s="984"/>
      <c r="AV7" s="984"/>
      <c r="AW7" s="989" t="s">
        <v>1014</v>
      </c>
      <c r="AX7" s="989"/>
      <c r="AY7" s="989"/>
      <c r="AZ7" s="989"/>
      <c r="BA7" s="989"/>
      <c r="BB7" s="990"/>
      <c r="BC7" s="91"/>
    </row>
    <row r="8" spans="1:55" s="46" customFormat="1" ht="16.95" customHeight="1">
      <c r="A8" s="91"/>
      <c r="B8" s="626"/>
      <c r="C8" s="988"/>
      <c r="D8" s="988"/>
      <c r="E8" s="988"/>
      <c r="F8" s="988"/>
      <c r="G8" s="988"/>
      <c r="H8" s="988"/>
      <c r="I8" s="988"/>
      <c r="J8" s="988"/>
      <c r="K8" s="988"/>
      <c r="L8" s="988"/>
      <c r="M8" s="988"/>
      <c r="N8" s="988"/>
      <c r="O8" s="988"/>
      <c r="P8" s="988"/>
      <c r="Q8" s="988"/>
      <c r="R8" s="988"/>
      <c r="S8" s="988"/>
      <c r="T8" s="988"/>
      <c r="U8" s="984"/>
      <c r="V8" s="984"/>
      <c r="W8" s="984"/>
      <c r="X8" s="984"/>
      <c r="Y8" s="984"/>
      <c r="Z8" s="984"/>
      <c r="AA8" s="984"/>
      <c r="AB8" s="984"/>
      <c r="AC8" s="984"/>
      <c r="AD8" s="984"/>
      <c r="AE8" s="984"/>
      <c r="AF8" s="984"/>
      <c r="AG8" s="984"/>
      <c r="AH8" s="984"/>
      <c r="AI8" s="984"/>
      <c r="AJ8" s="984"/>
      <c r="AK8" s="984"/>
      <c r="AL8" s="984"/>
      <c r="AM8" s="984"/>
      <c r="AN8" s="158"/>
      <c r="AO8" s="984"/>
      <c r="AP8" s="984"/>
      <c r="AQ8" s="984"/>
      <c r="AR8" s="984"/>
      <c r="AS8" s="984"/>
      <c r="AT8" s="984"/>
      <c r="AU8" s="984"/>
      <c r="AV8" s="984"/>
      <c r="AW8" s="989"/>
      <c r="AX8" s="989"/>
      <c r="AY8" s="989"/>
      <c r="AZ8" s="989"/>
      <c r="BA8" s="989"/>
      <c r="BB8" s="990"/>
      <c r="BC8" s="91"/>
    </row>
    <row r="9" spans="1:55" s="46" customFormat="1" ht="12.9" customHeight="1">
      <c r="A9" s="91"/>
      <c r="B9" s="994" t="s">
        <v>936</v>
      </c>
      <c r="C9" s="995"/>
      <c r="D9" s="995"/>
      <c r="E9" s="995"/>
      <c r="F9" s="995"/>
      <c r="G9" s="954" t="s">
        <v>937</v>
      </c>
      <c r="H9" s="954"/>
      <c r="I9" s="954"/>
      <c r="J9" s="954"/>
      <c r="K9" s="954"/>
      <c r="L9" s="954"/>
      <c r="M9" s="954"/>
      <c r="N9" s="954"/>
      <c r="O9" s="954"/>
      <c r="P9" s="954"/>
      <c r="Q9" s="954"/>
      <c r="R9" s="954"/>
      <c r="S9" s="954"/>
      <c r="T9" s="954"/>
      <c r="U9" s="587"/>
      <c r="V9" s="587"/>
      <c r="W9" s="587"/>
      <c r="X9" s="587"/>
      <c r="Y9" s="587"/>
      <c r="Z9" s="587"/>
      <c r="AA9" s="216" t="s">
        <v>771</v>
      </c>
      <c r="AB9" s="961" t="s">
        <v>1275</v>
      </c>
      <c r="AC9" s="962"/>
      <c r="AD9" s="962"/>
      <c r="AE9" s="962"/>
      <c r="AF9" s="962"/>
      <c r="AG9" s="962"/>
      <c r="AH9" s="962"/>
      <c r="AI9" s="962"/>
      <c r="AJ9" s="962"/>
      <c r="AK9" s="962"/>
      <c r="AL9" s="963"/>
      <c r="AM9" s="158"/>
      <c r="AN9" s="158"/>
      <c r="AO9"/>
      <c r="AP9" s="588" t="s">
        <v>907</v>
      </c>
      <c r="AQ9" s="265" t="s">
        <v>272</v>
      </c>
      <c r="AR9" s="553"/>
      <c r="AS9" s="158"/>
      <c r="AT9" s="158"/>
      <c r="AU9" s="158"/>
      <c r="AV9"/>
      <c r="AW9"/>
      <c r="AX9"/>
      <c r="AY9"/>
      <c r="AZ9"/>
      <c r="BA9"/>
      <c r="BB9" s="586"/>
      <c r="BC9" s="91"/>
    </row>
    <row r="10" spans="1:55" s="46" customFormat="1" ht="12.9" customHeight="1">
      <c r="A10" s="91"/>
      <c r="B10" s="994"/>
      <c r="C10" s="995"/>
      <c r="D10" s="995"/>
      <c r="E10" s="995"/>
      <c r="F10" s="995"/>
      <c r="G10" s="954"/>
      <c r="H10" s="954"/>
      <c r="I10" s="954"/>
      <c r="J10" s="954"/>
      <c r="K10" s="954"/>
      <c r="L10" s="954"/>
      <c r="M10" s="954"/>
      <c r="N10" s="954"/>
      <c r="O10" s="954"/>
      <c r="P10" s="954"/>
      <c r="Q10" s="954"/>
      <c r="R10" s="954"/>
      <c r="S10" s="954"/>
      <c r="T10" s="954"/>
      <c r="U10" s="587"/>
      <c r="V10" s="587"/>
      <c r="W10" s="587"/>
      <c r="X10" s="587"/>
      <c r="Y10" s="587"/>
      <c r="Z10" s="587"/>
      <c r="AA10" s="216" t="s">
        <v>143</v>
      </c>
      <c r="AB10" s="961" t="s">
        <v>1276</v>
      </c>
      <c r="AC10" s="962"/>
      <c r="AD10" s="962"/>
      <c r="AE10" s="962"/>
      <c r="AF10" s="962"/>
      <c r="AG10" s="962"/>
      <c r="AH10" s="962"/>
      <c r="AI10" s="962"/>
      <c r="AJ10" s="962"/>
      <c r="AK10" s="962"/>
      <c r="AL10" s="963"/>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994"/>
      <c r="C11" s="995"/>
      <c r="D11" s="995"/>
      <c r="E11" s="995"/>
      <c r="F11" s="995"/>
      <c r="G11" s="954"/>
      <c r="H11" s="954"/>
      <c r="I11" s="954"/>
      <c r="J11" s="954"/>
      <c r="K11" s="954"/>
      <c r="L11" s="954"/>
      <c r="M11" s="954"/>
      <c r="N11" s="954"/>
      <c r="O11" s="954"/>
      <c r="P11" s="954"/>
      <c r="Q11" s="954"/>
      <c r="R11" s="954"/>
      <c r="S11" s="954"/>
      <c r="T11" s="954"/>
      <c r="U11" s="587"/>
      <c r="V11" s="587"/>
      <c r="W11" s="587"/>
      <c r="X11" s="587"/>
      <c r="Y11" s="587"/>
      <c r="Z11" s="587"/>
      <c r="AA11" s="216" t="s">
        <v>998</v>
      </c>
      <c r="AB11" s="985" t="s">
        <v>1277</v>
      </c>
      <c r="AC11" s="986"/>
      <c r="AD11" s="986"/>
      <c r="AE11" s="986"/>
      <c r="AF11" s="986"/>
      <c r="AG11" s="986"/>
      <c r="AH11" s="986"/>
      <c r="AI11" s="986"/>
      <c r="AJ11" s="986"/>
      <c r="AK11" s="986"/>
      <c r="AL11" s="987"/>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994" t="s">
        <v>667</v>
      </c>
      <c r="C12" s="995"/>
      <c r="D12" s="995"/>
      <c r="E12" s="995"/>
      <c r="F12" s="995"/>
      <c r="G12" s="954" t="s">
        <v>939</v>
      </c>
      <c r="H12" s="954"/>
      <c r="I12" s="954"/>
      <c r="J12" s="954"/>
      <c r="K12" s="954"/>
      <c r="L12" s="954"/>
      <c r="M12" s="954"/>
      <c r="N12" s="954"/>
      <c r="O12" s="954"/>
      <c r="P12" s="954"/>
      <c r="Q12" s="954"/>
      <c r="R12" s="954"/>
      <c r="S12" s="954"/>
      <c r="T12" s="954"/>
      <c r="U12" s="587"/>
      <c r="V12" s="587"/>
      <c r="W12" s="587"/>
      <c r="X12" s="587"/>
      <c r="Y12" s="587"/>
      <c r="Z12" s="587"/>
      <c r="AA12" s="216" t="s">
        <v>256</v>
      </c>
      <c r="AB12" s="959" t="s">
        <v>1278</v>
      </c>
      <c r="AC12" s="957"/>
      <c r="AD12" s="957"/>
      <c r="AE12" s="957"/>
      <c r="AF12" s="957"/>
      <c r="AG12" s="957"/>
      <c r="AH12" s="960"/>
      <c r="AI12" s="957"/>
      <c r="AJ12" s="957"/>
      <c r="AK12" s="957"/>
      <c r="AL12" s="958"/>
      <c r="AM12" s="158"/>
      <c r="AN12" s="158"/>
      <c r="AO12"/>
      <c r="AP12" s="588" t="s">
        <v>922</v>
      </c>
      <c r="AQ12" s="265" t="s">
        <v>932</v>
      </c>
      <c r="AR12" s="158"/>
      <c r="AS12" s="158"/>
      <c r="AT12"/>
      <c r="AU12"/>
      <c r="AV12"/>
      <c r="AW12"/>
      <c r="AX12"/>
      <c r="AY12"/>
      <c r="AZ12"/>
      <c r="BA12"/>
      <c r="BB12" s="586"/>
      <c r="BC12" s="91"/>
    </row>
    <row r="13" spans="1:55" s="46" customFormat="1" ht="12.9" customHeight="1">
      <c r="A13" s="91"/>
      <c r="B13" s="994"/>
      <c r="C13" s="995"/>
      <c r="D13" s="995"/>
      <c r="E13" s="995"/>
      <c r="F13" s="995"/>
      <c r="G13" s="954"/>
      <c r="H13" s="954"/>
      <c r="I13" s="954"/>
      <c r="J13" s="954"/>
      <c r="K13" s="954"/>
      <c r="L13" s="954"/>
      <c r="M13" s="954"/>
      <c r="N13" s="954"/>
      <c r="O13" s="954"/>
      <c r="P13" s="954"/>
      <c r="Q13" s="954"/>
      <c r="R13" s="954"/>
      <c r="S13" s="954"/>
      <c r="T13" s="954"/>
      <c r="U13" s="587"/>
      <c r="V13" s="587"/>
      <c r="W13" s="587"/>
      <c r="X13" s="587"/>
      <c r="Y13" s="587"/>
      <c r="Z13" s="587"/>
      <c r="AA13" s="216" t="s">
        <v>144</v>
      </c>
      <c r="AB13" s="961" t="s">
        <v>1279</v>
      </c>
      <c r="AC13" s="962"/>
      <c r="AD13" s="962"/>
      <c r="AE13" s="962"/>
      <c r="AF13" s="962"/>
      <c r="AG13" s="962"/>
      <c r="AH13" s="962"/>
      <c r="AI13" s="962"/>
      <c r="AJ13" s="962"/>
      <c r="AK13" s="962"/>
      <c r="AL13" s="963"/>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994"/>
      <c r="C14" s="995"/>
      <c r="D14" s="995"/>
      <c r="E14" s="995"/>
      <c r="F14" s="995"/>
      <c r="G14" s="954"/>
      <c r="H14" s="954"/>
      <c r="I14" s="954"/>
      <c r="J14" s="954"/>
      <c r="K14" s="954"/>
      <c r="L14" s="954"/>
      <c r="M14" s="954"/>
      <c r="N14" s="954"/>
      <c r="O14" s="954"/>
      <c r="P14" s="954"/>
      <c r="Q14" s="954"/>
      <c r="R14" s="954"/>
      <c r="S14" s="954"/>
      <c r="T14" s="954"/>
      <c r="U14" s="587"/>
      <c r="V14" s="587"/>
      <c r="W14" s="587"/>
      <c r="X14" s="587"/>
      <c r="Y14" s="587"/>
      <c r="Z14" s="587"/>
      <c r="AA14" s="216" t="s">
        <v>141</v>
      </c>
      <c r="AB14" s="974" t="s">
        <v>205</v>
      </c>
      <c r="AC14" s="975"/>
      <c r="AD14" s="975"/>
      <c r="AE14" s="975"/>
      <c r="AF14" s="975"/>
      <c r="AG14" s="975"/>
      <c r="AH14" s="975"/>
      <c r="AI14" s="975"/>
      <c r="AJ14" s="975"/>
      <c r="AK14" s="975"/>
      <c r="AL14" s="976"/>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55" t="s">
        <v>673</v>
      </c>
      <c r="C15" s="956"/>
      <c r="D15" s="956"/>
      <c r="E15" s="956"/>
      <c r="F15" s="956"/>
      <c r="G15" s="954" t="s">
        <v>940</v>
      </c>
      <c r="H15" s="954"/>
      <c r="I15" s="954"/>
      <c r="J15" s="954"/>
      <c r="K15" s="954"/>
      <c r="L15" s="954"/>
      <c r="M15" s="954"/>
      <c r="N15" s="954"/>
      <c r="O15" s="954"/>
      <c r="P15" s="954"/>
      <c r="Q15" s="954"/>
      <c r="R15" s="954"/>
      <c r="S15" s="954"/>
      <c r="T15" s="954"/>
      <c r="U15" s="587"/>
      <c r="V15" s="587"/>
      <c r="W15" s="587"/>
      <c r="X15" s="587"/>
      <c r="Y15" s="587"/>
      <c r="Z15" s="587"/>
      <c r="AA15" s="599" t="s">
        <v>953</v>
      </c>
      <c r="AB15" s="964"/>
      <c r="AC15" s="964"/>
      <c r="AD15" s="964"/>
      <c r="AE15" s="964"/>
      <c r="AF15" s="964"/>
      <c r="AG15" s="964"/>
      <c r="AH15" s="964"/>
      <c r="AI15" s="964"/>
      <c r="AJ15" s="964"/>
      <c r="AK15" s="964"/>
      <c r="AL15" s="964"/>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55"/>
      <c r="C16" s="956"/>
      <c r="D16" s="956"/>
      <c r="E16" s="956"/>
      <c r="F16" s="956"/>
      <c r="G16" s="954"/>
      <c r="H16" s="954"/>
      <c r="I16" s="954"/>
      <c r="J16" s="954"/>
      <c r="K16" s="954"/>
      <c r="L16" s="954"/>
      <c r="M16" s="954"/>
      <c r="N16" s="954"/>
      <c r="O16" s="954"/>
      <c r="P16" s="954"/>
      <c r="Q16" s="954"/>
      <c r="R16" s="954"/>
      <c r="S16" s="954"/>
      <c r="T16" s="954"/>
      <c r="U16" s="587"/>
      <c r="V16" s="587"/>
      <c r="W16" s="587"/>
      <c r="X16" s="587"/>
      <c r="Y16" s="587"/>
      <c r="Z16" s="587"/>
      <c r="AA16" s="216" t="s">
        <v>142</v>
      </c>
      <c r="AB16" s="965" t="s">
        <v>1280</v>
      </c>
      <c r="AC16" s="966"/>
      <c r="AD16" s="966"/>
      <c r="AE16" s="966"/>
      <c r="AF16" s="966"/>
      <c r="AG16" s="966"/>
      <c r="AH16" s="966"/>
      <c r="AI16" s="966"/>
      <c r="AJ16" s="966"/>
      <c r="AK16" s="966"/>
      <c r="AL16" s="967"/>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55"/>
      <c r="C17" s="956"/>
      <c r="D17" s="956"/>
      <c r="E17" s="956"/>
      <c r="F17" s="956"/>
      <c r="G17" s="954"/>
      <c r="H17" s="954"/>
      <c r="I17" s="954"/>
      <c r="J17" s="954"/>
      <c r="K17" s="954"/>
      <c r="L17" s="954"/>
      <c r="M17" s="954"/>
      <c r="N17" s="954"/>
      <c r="O17" s="954"/>
      <c r="P17" s="954"/>
      <c r="Q17" s="954"/>
      <c r="R17" s="954"/>
      <c r="S17" s="954"/>
      <c r="T17" s="954"/>
      <c r="U17" s="587"/>
      <c r="V17" s="587"/>
      <c r="W17" s="587"/>
      <c r="X17" s="587"/>
      <c r="Y17" s="587"/>
      <c r="Z17" s="587"/>
      <c r="AA17" s="216" t="s">
        <v>234</v>
      </c>
      <c r="AB17" s="971">
        <v>46085</v>
      </c>
      <c r="AC17" s="972"/>
      <c r="AD17" s="972"/>
      <c r="AE17" s="972"/>
      <c r="AF17" s="972"/>
      <c r="AG17" s="972"/>
      <c r="AH17" s="972"/>
      <c r="AI17" s="972"/>
      <c r="AJ17" s="972"/>
      <c r="AK17" s="972"/>
      <c r="AL17" s="973"/>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55" t="s">
        <v>1083</v>
      </c>
      <c r="C18" s="956"/>
      <c r="D18" s="956"/>
      <c r="E18" s="956"/>
      <c r="F18" s="956"/>
      <c r="G18" s="954" t="s">
        <v>1086</v>
      </c>
      <c r="H18" s="954"/>
      <c r="I18" s="954"/>
      <c r="J18" s="954"/>
      <c r="K18" s="954"/>
      <c r="L18" s="954"/>
      <c r="M18" s="954"/>
      <c r="N18" s="954"/>
      <c r="O18" s="954"/>
      <c r="P18" s="954"/>
      <c r="Q18" s="954"/>
      <c r="R18" s="954"/>
      <c r="S18" s="954"/>
      <c r="T18" s="954"/>
      <c r="U18" s="587"/>
      <c r="V18" s="587"/>
      <c r="W18" s="587"/>
      <c r="X18" s="587"/>
      <c r="Y18" s="587"/>
      <c r="Z18" s="587"/>
      <c r="AA18" s="216" t="s">
        <v>713</v>
      </c>
      <c r="AB18" s="961">
        <v>2025</v>
      </c>
      <c r="AC18" s="962"/>
      <c r="AD18" s="962"/>
      <c r="AE18" s="962"/>
      <c r="AF18" s="962"/>
      <c r="AG18" s="962"/>
      <c r="AH18" s="962"/>
      <c r="AI18" s="962"/>
      <c r="AJ18" s="962"/>
      <c r="AK18" s="962"/>
      <c r="AL18" s="963"/>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55"/>
      <c r="C19" s="956"/>
      <c r="D19" s="956"/>
      <c r="E19" s="956"/>
      <c r="F19" s="956"/>
      <c r="G19" s="954"/>
      <c r="H19" s="954"/>
      <c r="I19" s="954"/>
      <c r="J19" s="954"/>
      <c r="K19" s="954"/>
      <c r="L19" s="954"/>
      <c r="M19" s="954"/>
      <c r="N19" s="954"/>
      <c r="O19" s="954"/>
      <c r="P19" s="954"/>
      <c r="Q19" s="954"/>
      <c r="R19" s="954"/>
      <c r="S19" s="954"/>
      <c r="T19" s="954"/>
      <c r="U19" s="587"/>
      <c r="V19" s="587"/>
      <c r="W19" s="587"/>
      <c r="X19" s="587"/>
      <c r="Y19" s="587"/>
      <c r="Z19" s="587"/>
      <c r="AA19" s="216" t="s">
        <v>927</v>
      </c>
      <c r="AB19" s="961" t="s">
        <v>1281</v>
      </c>
      <c r="AC19" s="962"/>
      <c r="AD19" s="962"/>
      <c r="AE19" s="962"/>
      <c r="AF19" s="96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55"/>
      <c r="C20" s="956"/>
      <c r="D20" s="956"/>
      <c r="E20" s="956"/>
      <c r="F20" s="956"/>
      <c r="G20" s="954"/>
      <c r="H20" s="954"/>
      <c r="I20" s="954"/>
      <c r="J20" s="954"/>
      <c r="K20" s="954"/>
      <c r="L20" s="954"/>
      <c r="M20" s="954"/>
      <c r="N20" s="954"/>
      <c r="O20" s="954"/>
      <c r="P20" s="954"/>
      <c r="Q20" s="954"/>
      <c r="R20" s="954"/>
      <c r="S20" s="954"/>
      <c r="T20" s="954"/>
      <c r="U20" s="587"/>
      <c r="V20" s="587"/>
      <c r="W20" s="587"/>
      <c r="X20" s="587"/>
      <c r="Y20" s="587"/>
      <c r="Z20" s="587"/>
      <c r="AA20" s="216" t="s">
        <v>1012</v>
      </c>
      <c r="AB20" s="971">
        <v>45658</v>
      </c>
      <c r="AC20" s="972"/>
      <c r="AD20" s="972"/>
      <c r="AE20" s="972"/>
      <c r="AF20" s="972"/>
      <c r="AG20" s="972"/>
      <c r="AH20" s="972"/>
      <c r="AI20" s="972"/>
      <c r="AJ20" s="972"/>
      <c r="AK20" s="972"/>
      <c r="AL20" s="973"/>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55" t="s">
        <v>942</v>
      </c>
      <c r="C21" s="956"/>
      <c r="D21" s="956"/>
      <c r="E21" s="956"/>
      <c r="F21" s="956"/>
      <c r="G21" s="954" t="s">
        <v>974</v>
      </c>
      <c r="H21" s="954"/>
      <c r="I21" s="954"/>
      <c r="J21" s="954"/>
      <c r="K21" s="954"/>
      <c r="L21" s="954"/>
      <c r="M21" s="954"/>
      <c r="N21" s="954"/>
      <c r="O21" s="954"/>
      <c r="P21" s="954"/>
      <c r="Q21" s="954"/>
      <c r="R21" s="954"/>
      <c r="S21" s="954"/>
      <c r="T21" s="954"/>
      <c r="U21" s="587"/>
      <c r="V21" s="587"/>
      <c r="W21" s="587"/>
      <c r="X21" s="587"/>
      <c r="Y21" s="587"/>
      <c r="Z21" s="587"/>
      <c r="AA21" s="216" t="s">
        <v>1013</v>
      </c>
      <c r="AB21" s="977">
        <v>46022</v>
      </c>
      <c r="AC21" s="978"/>
      <c r="AD21" s="978"/>
      <c r="AE21" s="978"/>
      <c r="AF21" s="978"/>
      <c r="AG21" s="978"/>
      <c r="AH21" s="978"/>
      <c r="AI21" s="978"/>
      <c r="AJ21" s="978"/>
      <c r="AK21" s="978"/>
      <c r="AL21" s="979"/>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55"/>
      <c r="C22" s="956"/>
      <c r="D22" s="956"/>
      <c r="E22" s="956"/>
      <c r="F22" s="956"/>
      <c r="G22" s="954"/>
      <c r="H22" s="954"/>
      <c r="I22" s="954"/>
      <c r="J22" s="954"/>
      <c r="K22" s="954"/>
      <c r="L22" s="954"/>
      <c r="M22" s="954"/>
      <c r="N22" s="954"/>
      <c r="O22" s="954"/>
      <c r="P22" s="954"/>
      <c r="Q22" s="954"/>
      <c r="R22" s="954"/>
      <c r="S22" s="954"/>
      <c r="T22" s="954"/>
      <c r="U22" s="587"/>
      <c r="V22" s="587"/>
      <c r="W22" s="587"/>
      <c r="X22" s="587"/>
      <c r="Y22" s="587"/>
      <c r="Z22" s="587"/>
      <c r="AA22" s="216" t="s">
        <v>238</v>
      </c>
      <c r="AB22" s="968" t="s">
        <v>25</v>
      </c>
      <c r="AC22" s="969"/>
      <c r="AD22" s="969"/>
      <c r="AE22" s="969"/>
      <c r="AF22" s="969"/>
      <c r="AG22" s="969"/>
      <c r="AH22" s="969"/>
      <c r="AI22" s="969"/>
      <c r="AJ22" s="969"/>
      <c r="AK22" s="969"/>
      <c r="AL22" s="970"/>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55"/>
      <c r="C23" s="956"/>
      <c r="D23" s="956"/>
      <c r="E23" s="956"/>
      <c r="F23" s="956"/>
      <c r="G23" s="954"/>
      <c r="H23" s="954"/>
      <c r="I23" s="954"/>
      <c r="J23" s="954"/>
      <c r="K23" s="954"/>
      <c r="L23" s="954"/>
      <c r="M23" s="954"/>
      <c r="N23" s="954"/>
      <c r="O23" s="954"/>
      <c r="P23" s="954"/>
      <c r="Q23" s="954"/>
      <c r="R23" s="954"/>
      <c r="S23" s="954"/>
      <c r="T23" s="954"/>
      <c r="U23" s="587"/>
      <c r="AA23" s="216" t="s">
        <v>1010</v>
      </c>
      <c r="AB23" s="1012" t="s">
        <v>1004</v>
      </c>
      <c r="AC23" s="1013"/>
      <c r="AD23" s="1013"/>
      <c r="AE23" s="1013"/>
      <c r="AF23" s="1014"/>
      <c r="AG23" s="1015" t="s">
        <v>1283</v>
      </c>
      <c r="AH23" s="1015"/>
      <c r="AI23" s="1015"/>
      <c r="AJ23" s="1015"/>
      <c r="AK23" s="1015"/>
      <c r="AL23" s="1015"/>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55" t="s">
        <v>944</v>
      </c>
      <c r="C24" s="956"/>
      <c r="D24" s="956"/>
      <c r="E24" s="956"/>
      <c r="F24" s="956"/>
      <c r="G24" s="954" t="s">
        <v>945</v>
      </c>
      <c r="H24" s="954"/>
      <c r="I24" s="954"/>
      <c r="J24" s="954"/>
      <c r="K24" s="954"/>
      <c r="L24" s="954"/>
      <c r="M24" s="954"/>
      <c r="N24" s="954"/>
      <c r="O24" s="954"/>
      <c r="P24" s="954"/>
      <c r="Q24" s="954"/>
      <c r="R24" s="954"/>
      <c r="S24" s="954"/>
      <c r="T24" s="954"/>
      <c r="U24" s="587"/>
      <c r="AA24" s="216" t="s">
        <v>1002</v>
      </c>
      <c r="AB24" s="1016" t="s">
        <v>1006</v>
      </c>
      <c r="AC24" s="1017"/>
      <c r="AD24" s="1017"/>
      <c r="AE24" s="1017"/>
      <c r="AF24" s="1018"/>
      <c r="AG24" s="1019"/>
      <c r="AH24" s="1020"/>
      <c r="AI24" s="1020"/>
      <c r="AJ24" s="1020"/>
      <c r="AK24" s="1020"/>
      <c r="AL24" s="1020"/>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55"/>
      <c r="C25" s="956"/>
      <c r="D25" s="956"/>
      <c r="E25" s="956"/>
      <c r="F25" s="956"/>
      <c r="G25" s="954"/>
      <c r="H25" s="954"/>
      <c r="I25" s="954"/>
      <c r="J25" s="954"/>
      <c r="K25" s="954"/>
      <c r="L25" s="954"/>
      <c r="M25" s="954"/>
      <c r="N25" s="954"/>
      <c r="O25" s="954"/>
      <c r="P25" s="954"/>
      <c r="Q25" s="954"/>
      <c r="R25" s="954"/>
      <c r="S25" s="954"/>
      <c r="T25" s="954"/>
      <c r="U25" s="587"/>
      <c r="V25" s="587"/>
      <c r="W25" s="587"/>
      <c r="X25" s="587"/>
      <c r="Y25" s="587"/>
      <c r="Z25" s="587"/>
      <c r="AA25" s="216" t="s">
        <v>999</v>
      </c>
      <c r="AB25" s="1016" t="s">
        <v>1282</v>
      </c>
      <c r="AC25" s="1017"/>
      <c r="AD25" s="1017"/>
      <c r="AE25" s="1017"/>
      <c r="AF25" s="1017"/>
      <c r="AG25" s="1017"/>
      <c r="AH25" s="1017"/>
      <c r="AI25" s="1017"/>
      <c r="AJ25" s="1017"/>
      <c r="AK25" s="1017"/>
      <c r="AL25" s="1023"/>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55"/>
      <c r="C26" s="956"/>
      <c r="D26" s="956"/>
      <c r="E26" s="956"/>
      <c r="F26" s="956"/>
      <c r="G26" s="954"/>
      <c r="H26" s="954"/>
      <c r="I26" s="954"/>
      <c r="J26" s="954"/>
      <c r="K26" s="954"/>
      <c r="L26" s="954"/>
      <c r="M26" s="954"/>
      <c r="N26" s="954"/>
      <c r="O26" s="954"/>
      <c r="P26" s="954"/>
      <c r="Q26" s="954"/>
      <c r="R26" s="954"/>
      <c r="S26" s="954"/>
      <c r="T26" s="954"/>
      <c r="U26" s="587"/>
      <c r="V26" s="587"/>
      <c r="W26" s="587"/>
      <c r="X26" s="587"/>
      <c r="Y26" s="587"/>
      <c r="Z26" s="587"/>
      <c r="AA26" s="592" t="s">
        <v>996</v>
      </c>
      <c r="AB26" s="1016" t="s">
        <v>27</v>
      </c>
      <c r="AC26" s="1017"/>
      <c r="AD26" s="1017"/>
      <c r="AE26" s="1017"/>
      <c r="AF26" s="1017"/>
      <c r="AG26" s="1017"/>
      <c r="AH26" s="1017"/>
      <c r="AI26" s="1017"/>
      <c r="AJ26" s="1017"/>
      <c r="AK26" s="1017"/>
      <c r="AL26" s="1023"/>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55" t="s">
        <v>783</v>
      </c>
      <c r="C27" s="956"/>
      <c r="D27" s="956"/>
      <c r="E27" s="956"/>
      <c r="F27" s="956"/>
      <c r="G27" s="954" t="s">
        <v>992</v>
      </c>
      <c r="H27" s="954"/>
      <c r="I27" s="954"/>
      <c r="J27" s="954"/>
      <c r="K27" s="954"/>
      <c r="L27" s="954"/>
      <c r="M27" s="954"/>
      <c r="N27" s="954"/>
      <c r="O27" s="954"/>
      <c r="P27" s="954"/>
      <c r="Q27" s="954"/>
      <c r="R27" s="954"/>
      <c r="S27" s="954"/>
      <c r="T27" s="954"/>
      <c r="U27" s="587"/>
      <c r="AA27" s="592" t="s">
        <v>997</v>
      </c>
      <c r="AB27" s="1016" t="s">
        <v>27</v>
      </c>
      <c r="AC27" s="1017"/>
      <c r="AD27" s="1017"/>
      <c r="AE27" s="1017"/>
      <c r="AF27" s="1017"/>
      <c r="AG27" s="1017"/>
      <c r="AH27" s="1017"/>
      <c r="AI27" s="1017"/>
      <c r="AJ27" s="1017"/>
      <c r="AK27" s="1017"/>
      <c r="AL27" s="1023"/>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55"/>
      <c r="C28" s="956"/>
      <c r="D28" s="956"/>
      <c r="E28" s="956"/>
      <c r="F28" s="956"/>
      <c r="G28" s="954"/>
      <c r="H28" s="954"/>
      <c r="I28" s="954"/>
      <c r="J28" s="954"/>
      <c r="K28" s="954"/>
      <c r="L28" s="954"/>
      <c r="M28" s="954"/>
      <c r="N28" s="954"/>
      <c r="O28" s="954"/>
      <c r="P28" s="954"/>
      <c r="Q28" s="954"/>
      <c r="R28" s="954"/>
      <c r="S28" s="954"/>
      <c r="T28" s="954"/>
      <c r="U28" s="623"/>
      <c r="V28" s="587"/>
      <c r="W28" s="587"/>
      <c r="X28" s="587"/>
      <c r="Y28" s="587"/>
      <c r="Z28" s="587"/>
      <c r="AB28" s="585"/>
      <c r="AC28" s="585"/>
      <c r="AD28" s="585"/>
      <c r="AE28" s="585"/>
      <c r="AF28" s="585"/>
      <c r="AG28" s="585"/>
      <c r="AH28" s="216" t="s">
        <v>1000</v>
      </c>
      <c r="AI28" s="1025">
        <v>9391</v>
      </c>
      <c r="AJ28" s="1026"/>
      <c r="AK28" s="1026"/>
      <c r="AL28" s="1027"/>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55"/>
      <c r="C29" s="956"/>
      <c r="D29" s="956"/>
      <c r="E29" s="956"/>
      <c r="F29" s="956"/>
      <c r="G29" s="954"/>
      <c r="H29" s="954"/>
      <c r="I29" s="954"/>
      <c r="J29" s="954"/>
      <c r="K29" s="954"/>
      <c r="L29" s="954"/>
      <c r="M29" s="954"/>
      <c r="N29" s="954"/>
      <c r="O29" s="954"/>
      <c r="P29" s="954"/>
      <c r="Q29" s="954"/>
      <c r="R29" s="954"/>
      <c r="S29" s="954"/>
      <c r="T29" s="95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55" t="s">
        <v>946</v>
      </c>
      <c r="C30" s="956"/>
      <c r="D30" s="956"/>
      <c r="E30" s="956"/>
      <c r="F30" s="956"/>
      <c r="G30" s="954" t="s">
        <v>947</v>
      </c>
      <c r="H30" s="954"/>
      <c r="I30" s="954"/>
      <c r="J30" s="954"/>
      <c r="K30" s="954"/>
      <c r="L30" s="954"/>
      <c r="M30" s="954"/>
      <c r="N30" s="954"/>
      <c r="O30" s="954"/>
      <c r="P30" s="954"/>
      <c r="Q30" s="954"/>
      <c r="R30" s="954"/>
      <c r="S30" s="954"/>
      <c r="T30" s="954"/>
      <c r="U30" s="623"/>
      <c r="BB30" s="584"/>
      <c r="BC30" s="91"/>
    </row>
    <row r="31" spans="1:55" s="46" customFormat="1" ht="12.9" customHeight="1">
      <c r="A31" s="91"/>
      <c r="B31" s="955"/>
      <c r="C31" s="956"/>
      <c r="D31" s="956"/>
      <c r="E31" s="956"/>
      <c r="F31" s="956"/>
      <c r="G31" s="954"/>
      <c r="H31" s="954"/>
      <c r="I31" s="954"/>
      <c r="J31" s="954"/>
      <c r="K31" s="954"/>
      <c r="L31" s="954"/>
      <c r="M31" s="954"/>
      <c r="N31" s="954"/>
      <c r="O31" s="954"/>
      <c r="P31" s="954"/>
      <c r="Q31" s="954"/>
      <c r="R31" s="954"/>
      <c r="S31" s="954"/>
      <c r="T31" s="954"/>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55"/>
      <c r="C32" s="956"/>
      <c r="D32" s="956"/>
      <c r="E32" s="956"/>
      <c r="F32" s="956"/>
      <c r="G32" s="954"/>
      <c r="H32" s="954"/>
      <c r="I32" s="954"/>
      <c r="J32" s="954"/>
      <c r="K32" s="954"/>
      <c r="L32" s="954"/>
      <c r="M32" s="954"/>
      <c r="N32" s="954"/>
      <c r="O32" s="954"/>
      <c r="P32" s="954"/>
      <c r="Q32" s="954"/>
      <c r="R32" s="954"/>
      <c r="S32" s="954"/>
      <c r="T32" s="95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55" t="s">
        <v>948</v>
      </c>
      <c r="C33" s="956"/>
      <c r="D33" s="956"/>
      <c r="E33" s="956"/>
      <c r="F33" s="956"/>
      <c r="G33" s="954" t="s">
        <v>975</v>
      </c>
      <c r="H33" s="954"/>
      <c r="I33" s="954"/>
      <c r="J33" s="954"/>
      <c r="K33" s="954"/>
      <c r="L33" s="954"/>
      <c r="M33" s="954"/>
      <c r="N33" s="954"/>
      <c r="O33" s="954"/>
      <c r="P33" s="954"/>
      <c r="Q33" s="954"/>
      <c r="R33" s="954"/>
      <c r="S33" s="954"/>
      <c r="T33" s="95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55"/>
      <c r="C34" s="956"/>
      <c r="D34" s="956"/>
      <c r="E34" s="956"/>
      <c r="F34" s="956"/>
      <c r="G34" s="954"/>
      <c r="H34" s="954"/>
      <c r="I34" s="954"/>
      <c r="J34" s="954"/>
      <c r="K34" s="954"/>
      <c r="L34" s="954"/>
      <c r="M34" s="954"/>
      <c r="N34" s="954"/>
      <c r="O34" s="954"/>
      <c r="P34" s="954"/>
      <c r="Q34" s="954"/>
      <c r="R34" s="954"/>
      <c r="S34" s="954"/>
      <c r="T34" s="954"/>
      <c r="U34" s="631"/>
      <c r="V34" s="623"/>
      <c r="X34" s="650"/>
      <c r="Y34" s="650"/>
      <c r="AA34" s="908" t="s">
        <v>930</v>
      </c>
      <c r="AB34" s="996" t="s">
        <v>667</v>
      </c>
      <c r="AC34" s="996"/>
      <c r="AD34" s="996"/>
      <c r="AE34" s="996"/>
      <c r="AF34" s="610"/>
      <c r="AG34" s="610"/>
      <c r="AH34" s="610"/>
      <c r="AI34" s="610"/>
      <c r="AJ34" s="620"/>
      <c r="AK34" s="620"/>
      <c r="AM34" s="650"/>
      <c r="AN34" s="650"/>
      <c r="AO34" s="650"/>
      <c r="AR34" s="908" t="s">
        <v>930</v>
      </c>
      <c r="AS34" s="996" t="s">
        <v>673</v>
      </c>
      <c r="AT34" s="996"/>
      <c r="AU34" s="996"/>
      <c r="AV34" s="996"/>
      <c r="AW34" s="996"/>
      <c r="AX34" s="996"/>
      <c r="AY34" s="996"/>
      <c r="AZ34" s="996"/>
      <c r="BA34" s="621"/>
      <c r="BB34" s="584"/>
      <c r="BC34" s="91"/>
    </row>
    <row r="35" spans="1:55" s="46" customFormat="1" ht="12.9" customHeight="1">
      <c r="A35" s="91"/>
      <c r="B35" s="955"/>
      <c r="C35" s="956"/>
      <c r="D35" s="956"/>
      <c r="E35" s="956"/>
      <c r="F35" s="956"/>
      <c r="G35" s="954"/>
      <c r="H35" s="954"/>
      <c r="I35" s="954"/>
      <c r="J35" s="954"/>
      <c r="K35" s="954"/>
      <c r="L35" s="954"/>
      <c r="M35" s="954"/>
      <c r="N35" s="954"/>
      <c r="O35" s="954"/>
      <c r="P35" s="954"/>
      <c r="Q35" s="954"/>
      <c r="R35" s="954"/>
      <c r="S35" s="954"/>
      <c r="T35" s="95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55" t="s">
        <v>949</v>
      </c>
      <c r="C36" s="956"/>
      <c r="D36" s="956"/>
      <c r="E36" s="956"/>
      <c r="F36" s="956"/>
      <c r="G36" s="954" t="s">
        <v>950</v>
      </c>
      <c r="H36" s="954"/>
      <c r="I36" s="954"/>
      <c r="J36" s="954"/>
      <c r="K36" s="954"/>
      <c r="L36" s="954"/>
      <c r="M36" s="954"/>
      <c r="N36" s="954"/>
      <c r="O36" s="954"/>
      <c r="P36" s="954"/>
      <c r="Q36" s="954"/>
      <c r="R36" s="954"/>
      <c r="S36" s="954"/>
      <c r="T36" s="954"/>
      <c r="U36" s="631"/>
      <c r="V36" s="1001" t="s">
        <v>991</v>
      </c>
      <c r="W36" s="1001"/>
      <c r="X36" s="1001"/>
      <c r="Y36" s="1001"/>
      <c r="Z36" s="1001"/>
      <c r="AA36" s="1001"/>
      <c r="AB36" s="1001"/>
      <c r="AC36" s="1001"/>
      <c r="AD36" s="1001"/>
      <c r="AE36" s="1001"/>
      <c r="AF36" s="1001"/>
      <c r="AG36" s="646"/>
      <c r="AH36" s="1024" t="s">
        <v>1245</v>
      </c>
      <c r="AI36" s="1024"/>
      <c r="AJ36" s="1024"/>
      <c r="AK36" s="1024"/>
      <c r="AL36" s="1024"/>
      <c r="AM36" s="1024"/>
      <c r="AN36" s="1024"/>
      <c r="AO36" s="1024"/>
      <c r="AP36" s="1024"/>
      <c r="AQ36" s="1024"/>
      <c r="AR36" s="1024"/>
      <c r="AS36" s="1024"/>
      <c r="AT36" s="1024"/>
      <c r="AU36" s="1024"/>
      <c r="AV36" s="1024"/>
      <c r="AW36" s="1024"/>
      <c r="AX36" s="1024"/>
      <c r="AY36" s="1024"/>
      <c r="AZ36" s="1024"/>
      <c r="BA36" s="1024"/>
      <c r="BB36" s="584"/>
      <c r="BC36" s="91"/>
    </row>
    <row r="37" spans="1:55" s="46" customFormat="1" ht="12.9" customHeight="1">
      <c r="A37" s="91"/>
      <c r="B37" s="955"/>
      <c r="C37" s="956"/>
      <c r="D37" s="956"/>
      <c r="E37" s="956"/>
      <c r="F37" s="956"/>
      <c r="G37" s="954"/>
      <c r="H37" s="954"/>
      <c r="I37" s="954"/>
      <c r="J37" s="954"/>
      <c r="K37" s="954"/>
      <c r="L37" s="954"/>
      <c r="M37" s="954"/>
      <c r="N37" s="954"/>
      <c r="O37" s="954"/>
      <c r="P37" s="954"/>
      <c r="Q37" s="954"/>
      <c r="R37" s="954"/>
      <c r="S37" s="954"/>
      <c r="T37" s="954"/>
      <c r="U37" s="631"/>
      <c r="V37" s="1001" t="s">
        <v>973</v>
      </c>
      <c r="W37" s="1001"/>
      <c r="X37" s="1001"/>
      <c r="Y37" s="1001"/>
      <c r="Z37" s="1001"/>
      <c r="AA37" s="1001"/>
      <c r="AB37" s="1001"/>
      <c r="AC37" s="1001"/>
      <c r="AD37" s="1001"/>
      <c r="AE37" s="1001"/>
      <c r="AF37" s="1001"/>
      <c r="AG37" s="646"/>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584"/>
      <c r="BC37" s="91"/>
    </row>
    <row r="38" spans="1:55" s="46" customFormat="1" ht="12.9" customHeight="1">
      <c r="A38" s="91"/>
      <c r="B38" s="955"/>
      <c r="C38" s="956"/>
      <c r="D38" s="956"/>
      <c r="E38" s="956"/>
      <c r="F38" s="956"/>
      <c r="G38" s="954"/>
      <c r="H38" s="954"/>
      <c r="I38" s="954"/>
      <c r="J38" s="954"/>
      <c r="K38" s="954"/>
      <c r="L38" s="954"/>
      <c r="M38" s="954"/>
      <c r="N38" s="954"/>
      <c r="O38" s="954"/>
      <c r="P38" s="954"/>
      <c r="Q38" s="954"/>
      <c r="R38" s="954"/>
      <c r="S38" s="954"/>
      <c r="T38" s="954"/>
      <c r="U38" s="631"/>
      <c r="V38" s="630"/>
      <c r="W38" s="630"/>
      <c r="X38" s="1002" t="s">
        <v>1016</v>
      </c>
      <c r="Y38" s="1002"/>
      <c r="Z38" s="1002"/>
      <c r="AA38" s="1002"/>
      <c r="AB38" s="1002"/>
      <c r="AC38" s="1002"/>
      <c r="AD38" s="100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55" t="s">
        <v>951</v>
      </c>
      <c r="C39" s="956"/>
      <c r="D39" s="956"/>
      <c r="E39" s="956"/>
      <c r="F39" s="956"/>
      <c r="G39" s="954" t="s">
        <v>952</v>
      </c>
      <c r="H39" s="954"/>
      <c r="I39" s="954"/>
      <c r="J39" s="954"/>
      <c r="K39" s="954"/>
      <c r="L39" s="954"/>
      <c r="M39" s="954"/>
      <c r="N39" s="954"/>
      <c r="O39" s="954"/>
      <c r="P39" s="954"/>
      <c r="Q39" s="954"/>
      <c r="R39" s="954"/>
      <c r="S39" s="954"/>
      <c r="T39" s="954"/>
      <c r="U39" s="631"/>
      <c r="V39" s="630"/>
      <c r="W39" s="1003">
        <v>0.01</v>
      </c>
      <c r="X39" s="1003"/>
      <c r="Y39" s="1003"/>
      <c r="Z39" s="1004" t="s">
        <v>787</v>
      </c>
      <c r="AA39" s="1005"/>
      <c r="AB39" s="1006"/>
      <c r="AC39" s="628" t="s">
        <v>878</v>
      </c>
      <c r="AD39" s="630"/>
      <c r="AE39" s="630"/>
      <c r="AF39" s="630"/>
      <c r="AG39" s="630"/>
      <c r="AH39" s="630"/>
      <c r="AI39" s="630"/>
      <c r="AJ39" s="630"/>
      <c r="AK39" s="630"/>
      <c r="AL39" s="629"/>
      <c r="AM39" s="620"/>
      <c r="AN39" s="632"/>
      <c r="AO39" s="997"/>
      <c r="AP39" s="997"/>
      <c r="AQ39" s="997"/>
      <c r="AR39" s="997"/>
      <c r="AS39" s="997"/>
      <c r="AT39" s="997"/>
      <c r="AU39" s="997"/>
      <c r="AV39" s="997"/>
      <c r="AW39" s="997"/>
      <c r="AX39" s="630"/>
      <c r="AY39" s="630"/>
      <c r="AZ39" s="634"/>
      <c r="BA39" s="621"/>
      <c r="BB39" s="584"/>
      <c r="BC39" s="91"/>
    </row>
    <row r="40" spans="1:55" s="46" customFormat="1" ht="12.9" customHeight="1">
      <c r="A40" s="91"/>
      <c r="B40" s="955"/>
      <c r="C40" s="956"/>
      <c r="D40" s="956"/>
      <c r="E40" s="956"/>
      <c r="F40" s="956"/>
      <c r="G40" s="954"/>
      <c r="H40" s="954"/>
      <c r="I40" s="954"/>
      <c r="J40" s="954"/>
      <c r="K40" s="954"/>
      <c r="L40" s="954"/>
      <c r="M40" s="954"/>
      <c r="N40" s="954"/>
      <c r="O40" s="954"/>
      <c r="P40" s="954"/>
      <c r="Q40" s="954"/>
      <c r="R40" s="954"/>
      <c r="S40" s="954"/>
      <c r="T40" s="954"/>
      <c r="U40" s="631"/>
      <c r="V40" s="630"/>
      <c r="W40" s="630"/>
      <c r="X40" s="630"/>
      <c r="Y40" s="630"/>
      <c r="Z40" s="1004" t="s">
        <v>788</v>
      </c>
      <c r="AA40" s="1005"/>
      <c r="AB40" s="1006"/>
      <c r="AC40" s="1021" t="s">
        <v>941</v>
      </c>
      <c r="AD40" s="1022"/>
      <c r="AE40" s="1022"/>
      <c r="AF40" s="630"/>
      <c r="AG40" s="630"/>
      <c r="AH40" s="630"/>
      <c r="AI40" s="630"/>
      <c r="AJ40" s="630"/>
      <c r="AK40" s="630"/>
      <c r="AL40" s="629"/>
      <c r="AM40" s="620"/>
      <c r="AN40" s="636"/>
      <c r="AO40" s="997"/>
      <c r="AP40" s="997"/>
      <c r="AQ40" s="997"/>
      <c r="AR40" s="997"/>
      <c r="AS40" s="997"/>
      <c r="AT40" s="997"/>
      <c r="AU40" s="997"/>
      <c r="AV40" s="997"/>
      <c r="AW40" s="997"/>
      <c r="AX40" s="630"/>
      <c r="AY40" s="630"/>
      <c r="AZ40" s="634"/>
      <c r="BA40" s="621"/>
      <c r="BB40" s="584"/>
      <c r="BC40" s="91"/>
    </row>
    <row r="41" spans="1:55" s="46" customFormat="1" ht="12.9" customHeight="1">
      <c r="A41" s="91"/>
      <c r="B41" s="955"/>
      <c r="C41" s="956"/>
      <c r="D41" s="956"/>
      <c r="E41" s="956"/>
      <c r="F41" s="956"/>
      <c r="G41" s="954"/>
      <c r="H41" s="954"/>
      <c r="I41" s="954"/>
      <c r="J41" s="954"/>
      <c r="K41" s="954"/>
      <c r="L41" s="954"/>
      <c r="M41" s="954"/>
      <c r="N41" s="954"/>
      <c r="O41" s="954"/>
      <c r="P41" s="954"/>
      <c r="Q41" s="954"/>
      <c r="R41" s="954"/>
      <c r="S41" s="954"/>
      <c r="T41" s="95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1001" t="s">
        <v>990</v>
      </c>
      <c r="W42" s="1001"/>
      <c r="X42" s="1001"/>
      <c r="Y42" s="1001"/>
      <c r="Z42" s="1001"/>
      <c r="AA42" s="1001"/>
      <c r="AB42" s="1001"/>
      <c r="AC42" s="1001"/>
      <c r="AD42" s="1001"/>
      <c r="AE42" s="1001"/>
      <c r="AF42" s="1001"/>
      <c r="AG42" s="630"/>
      <c r="AH42" s="997" t="s">
        <v>1244</v>
      </c>
      <c r="AI42" s="997"/>
      <c r="AJ42" s="997"/>
      <c r="AK42" s="997"/>
      <c r="AL42" s="997"/>
      <c r="AM42" s="997"/>
      <c r="AN42" s="997"/>
      <c r="AO42" s="997"/>
      <c r="AP42" s="997"/>
      <c r="AQ42" s="997"/>
      <c r="AR42" s="997"/>
      <c r="AS42" s="997"/>
      <c r="AT42" s="997"/>
      <c r="AU42" s="997"/>
      <c r="AV42" s="997"/>
      <c r="AW42" s="997"/>
      <c r="BB42" s="584"/>
      <c r="BC42" s="91"/>
    </row>
    <row r="43" spans="1:55" s="46" customFormat="1" ht="12.9" customHeight="1">
      <c r="A43" s="91"/>
      <c r="B43" s="593"/>
      <c r="U43" s="631"/>
      <c r="V43" s="1001" t="s">
        <v>943</v>
      </c>
      <c r="W43" s="1001"/>
      <c r="X43" s="1001"/>
      <c r="Y43" s="1001"/>
      <c r="Z43" s="1001"/>
      <c r="AA43" s="1001"/>
      <c r="AB43" s="1001"/>
      <c r="AC43" s="1001"/>
      <c r="AD43" s="1001"/>
      <c r="AE43" s="1001"/>
      <c r="AF43" s="1001"/>
      <c r="AG43" s="646"/>
      <c r="AH43" s="997"/>
      <c r="AI43" s="997"/>
      <c r="AJ43" s="997"/>
      <c r="AK43" s="997"/>
      <c r="AL43" s="997"/>
      <c r="AM43" s="997"/>
      <c r="AN43" s="997"/>
      <c r="AO43" s="997"/>
      <c r="AP43" s="997"/>
      <c r="AQ43" s="997"/>
      <c r="AR43" s="997"/>
      <c r="AS43" s="997"/>
      <c r="AT43" s="997"/>
      <c r="AU43" s="997"/>
      <c r="AV43" s="997"/>
      <c r="AW43" s="997"/>
      <c r="AX43" s="998"/>
      <c r="AY43" s="999"/>
      <c r="AZ43" s="1000"/>
      <c r="BA43" s="621"/>
      <c r="BB43" s="584"/>
      <c r="BC43" s="91"/>
    </row>
    <row r="44" spans="1:55" s="46" customFormat="1" ht="12.9" customHeight="1">
      <c r="A44" s="91"/>
      <c r="B44" s="593"/>
      <c r="C44" s="201" t="s">
        <v>1078</v>
      </c>
      <c r="D44" s="624"/>
      <c r="E44" s="624"/>
      <c r="U44" s="631"/>
      <c r="V44" s="630"/>
      <c r="W44" s="630"/>
      <c r="X44" s="1002" t="s">
        <v>1016</v>
      </c>
      <c r="Y44" s="1002"/>
      <c r="Z44" s="1002"/>
      <c r="AA44" s="1002"/>
      <c r="AB44" s="1002"/>
      <c r="AC44" s="1002"/>
      <c r="AD44" s="1002"/>
      <c r="AE44" s="630"/>
      <c r="AF44" s="630"/>
      <c r="AG44" s="646"/>
      <c r="AH44" s="997"/>
      <c r="AI44" s="997"/>
      <c r="AJ44" s="997"/>
      <c r="AK44" s="997"/>
      <c r="AL44" s="997"/>
      <c r="AM44" s="997"/>
      <c r="AN44" s="997"/>
      <c r="AO44" s="997"/>
      <c r="AP44" s="997"/>
      <c r="AQ44" s="997"/>
      <c r="AR44" s="997"/>
      <c r="AS44" s="997"/>
      <c r="AT44" s="997"/>
      <c r="AU44" s="997"/>
      <c r="AV44" s="997"/>
      <c r="AW44" s="997"/>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09">
        <v>2.5000000000000001E-3</v>
      </c>
      <c r="X45" s="1010"/>
      <c r="Y45" s="1011"/>
      <c r="Z45" s="1005" t="s">
        <v>786</v>
      </c>
      <c r="AA45" s="1005"/>
      <c r="AB45" s="1006"/>
      <c r="AC45" s="628" t="s">
        <v>878</v>
      </c>
      <c r="AD45" s="630"/>
      <c r="AE45" s="630"/>
      <c r="AF45" s="630"/>
      <c r="AG45" s="646"/>
      <c r="AH45" s="646"/>
      <c r="AI45" s="1008" t="s">
        <v>1243</v>
      </c>
      <c r="AJ45" s="1008"/>
      <c r="AK45" s="1008"/>
      <c r="AL45" s="1008"/>
      <c r="AM45" s="1008"/>
      <c r="AN45" s="1008"/>
      <c r="AO45" s="1008"/>
      <c r="AP45" s="1008"/>
      <c r="AQ45" s="1008"/>
      <c r="AR45" s="1008"/>
      <c r="AS45" s="1008"/>
      <c r="AT45" s="1008"/>
      <c r="AU45" s="1008"/>
      <c r="AV45" s="1008"/>
      <c r="AW45" s="1008"/>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4" t="s">
        <v>835</v>
      </c>
      <c r="AA46" s="1005"/>
      <c r="AB46" s="1006"/>
      <c r="AC46" s="1021" t="s">
        <v>1017</v>
      </c>
      <c r="AD46" s="1022"/>
      <c r="AE46" s="1022"/>
      <c r="AF46" s="630"/>
      <c r="AG46" s="630"/>
      <c r="AH46" s="630"/>
      <c r="AI46" s="1008"/>
      <c r="AJ46" s="1008"/>
      <c r="AK46" s="1008"/>
      <c r="AL46" s="1008"/>
      <c r="AM46" s="1008"/>
      <c r="AN46" s="1008"/>
      <c r="AO46" s="1008"/>
      <c r="AP46" s="1008"/>
      <c r="AQ46" s="1008"/>
      <c r="AR46" s="1008"/>
      <c r="AS46" s="1008"/>
      <c r="AT46" s="1008"/>
      <c r="AU46" s="1008"/>
      <c r="AV46" s="1008"/>
      <c r="AW46" s="1008"/>
      <c r="AX46" s="1007">
        <v>7</v>
      </c>
      <c r="AY46" s="1007"/>
      <c r="AZ46" s="1007"/>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08"/>
      <c r="AJ47" s="1008"/>
      <c r="AK47" s="1008"/>
      <c r="AL47" s="1008"/>
      <c r="AM47" s="1008"/>
      <c r="AN47" s="1008"/>
      <c r="AO47" s="1008"/>
      <c r="AP47" s="1008"/>
      <c r="AQ47" s="1008"/>
      <c r="AR47" s="1008"/>
      <c r="AS47" s="1008"/>
      <c r="AT47" s="1008"/>
      <c r="AU47" s="1008"/>
      <c r="AV47" s="1008"/>
      <c r="AW47" s="1008"/>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7" t="s">
        <v>1254</v>
      </c>
      <c r="AE48" s="997"/>
      <c r="AF48" s="997"/>
      <c r="AG48" s="997"/>
      <c r="AH48" s="997"/>
      <c r="AI48" s="997"/>
      <c r="AJ48" s="997"/>
      <c r="AK48" s="997"/>
      <c r="AL48" s="997"/>
      <c r="AM48" s="997"/>
      <c r="AN48" s="997"/>
      <c r="AO48" s="997"/>
      <c r="AP48" s="997"/>
      <c r="AQ48" s="997"/>
      <c r="AR48" s="997"/>
      <c r="AS48" s="997"/>
      <c r="AT48" s="997"/>
      <c r="AU48" s="997"/>
      <c r="AV48" s="997"/>
      <c r="AW48" s="997"/>
      <c r="AX48" s="1001" t="s">
        <v>934</v>
      </c>
      <c r="AY48" s="1001"/>
      <c r="AZ48" s="1001"/>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7"/>
      <c r="AE49" s="997"/>
      <c r="AF49" s="997"/>
      <c r="AG49" s="997"/>
      <c r="AH49" s="997"/>
      <c r="AI49" s="997"/>
      <c r="AJ49" s="997"/>
      <c r="AK49" s="997"/>
      <c r="AL49" s="997"/>
      <c r="AM49" s="997"/>
      <c r="AN49" s="997"/>
      <c r="AO49" s="997"/>
      <c r="AP49" s="997"/>
      <c r="AQ49" s="997"/>
      <c r="AR49" s="997"/>
      <c r="AS49" s="997"/>
      <c r="AT49" s="997"/>
      <c r="AU49" s="997"/>
      <c r="AV49" s="997"/>
      <c r="AW49" s="997"/>
      <c r="AX49" s="1001"/>
      <c r="AY49" s="1001"/>
      <c r="AZ49" s="1001"/>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7"/>
      <c r="AE50" s="997"/>
      <c r="AF50" s="997"/>
      <c r="AG50" s="997"/>
      <c r="AH50" s="997"/>
      <c r="AI50" s="997"/>
      <c r="AJ50" s="997"/>
      <c r="AK50" s="997"/>
      <c r="AL50" s="997"/>
      <c r="AM50" s="997"/>
      <c r="AN50" s="997"/>
      <c r="AO50" s="997"/>
      <c r="AP50" s="997"/>
      <c r="AQ50" s="997"/>
      <c r="AR50" s="997"/>
      <c r="AS50" s="997"/>
      <c r="AT50" s="997"/>
      <c r="AU50" s="997"/>
      <c r="AV50" s="997"/>
      <c r="AW50" s="997"/>
      <c r="AX50" s="1001"/>
      <c r="AY50" s="1001"/>
      <c r="AZ50" s="1001"/>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7"/>
      <c r="AE51" s="997"/>
      <c r="AF51" s="997"/>
      <c r="AG51" s="997"/>
      <c r="AH51" s="997"/>
      <c r="AI51" s="997"/>
      <c r="AJ51" s="997"/>
      <c r="AK51" s="997"/>
      <c r="AL51" s="997"/>
      <c r="AM51" s="997"/>
      <c r="AN51" s="997"/>
      <c r="AO51" s="997"/>
      <c r="AP51" s="997"/>
      <c r="AQ51" s="997"/>
      <c r="AR51" s="997"/>
      <c r="AS51" s="997"/>
      <c r="AT51" s="997"/>
      <c r="AU51" s="997"/>
      <c r="AV51" s="997"/>
      <c r="AW51" s="997"/>
      <c r="AX51" s="1001"/>
      <c r="AY51" s="1001"/>
      <c r="AZ51" s="1001"/>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7"/>
      <c r="AE52" s="997"/>
      <c r="AF52" s="997"/>
      <c r="AG52" s="997"/>
      <c r="AH52" s="997"/>
      <c r="AI52" s="997"/>
      <c r="AJ52" s="997"/>
      <c r="AK52" s="997"/>
      <c r="AL52" s="997"/>
      <c r="AM52" s="997"/>
      <c r="AN52" s="997"/>
      <c r="AO52" s="997"/>
      <c r="AP52" s="997"/>
      <c r="AQ52" s="997"/>
      <c r="AR52" s="997"/>
      <c r="AS52" s="997"/>
      <c r="AT52" s="997"/>
      <c r="AU52" s="997"/>
      <c r="AV52" s="997"/>
      <c r="AW52" s="997"/>
      <c r="AX52" s="1001"/>
      <c r="AY52" s="1001"/>
      <c r="AZ52" s="1001"/>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C79" sqref="C79:Q79"/>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29" t="s">
        <v>1192</v>
      </c>
      <c r="C2" s="1030"/>
      <c r="D2" s="1030"/>
      <c r="E2" s="1030"/>
      <c r="F2" s="1030"/>
      <c r="G2" s="1030"/>
      <c r="H2" s="1030"/>
      <c r="I2" s="1030"/>
      <c r="J2" s="1030"/>
      <c r="K2" s="1030"/>
      <c r="L2" s="1030"/>
      <c r="M2" s="1030"/>
      <c r="N2" s="1030"/>
      <c r="O2" s="1030"/>
      <c r="P2" s="1030"/>
      <c r="Q2" s="1030"/>
      <c r="R2" s="1030"/>
      <c r="S2" s="1030"/>
      <c r="T2" s="1030"/>
      <c r="U2" s="1031"/>
      <c r="V2" s="91"/>
    </row>
    <row r="3" spans="1:33" ht="8.25" customHeight="1">
      <c r="A3" s="91"/>
      <c r="B3" s="561"/>
      <c r="C3" s="254"/>
      <c r="D3" s="53"/>
      <c r="E3" s="512"/>
      <c r="F3" s="255"/>
      <c r="G3" s="53"/>
      <c r="U3" s="256"/>
      <c r="V3" s="91"/>
    </row>
    <row r="4" spans="1:33">
      <c r="A4" s="91"/>
      <c r="B4" s="561"/>
      <c r="C4" s="257" t="s">
        <v>64</v>
      </c>
      <c r="D4" s="1034" t="str">
        <f>IF(ISBLANK('Start Page'!AB9),"&lt;&lt; Please enter system details on the Start Page &gt;&gt;",'Start Page'!AB9&amp;IF(ISBLANK('Start Page'!AM28),"","  ("&amp;'Start Page'!AM28&amp;")"))</f>
        <v>PAW - 540 Susquehanna</v>
      </c>
      <c r="E4" s="1035"/>
      <c r="F4" s="1035"/>
      <c r="G4" s="1035"/>
      <c r="H4" s="1036"/>
      <c r="I4" s="1036"/>
      <c r="J4" s="1036"/>
      <c r="K4" s="1036"/>
      <c r="L4" s="1036"/>
      <c r="M4" s="1036"/>
      <c r="N4" s="1036"/>
      <c r="O4" s="1036"/>
      <c r="P4" s="1037"/>
      <c r="U4" s="256"/>
      <c r="V4" s="91"/>
    </row>
    <row r="5" spans="1:33">
      <c r="A5" s="91"/>
      <c r="B5" s="561"/>
      <c r="C5" s="257" t="s">
        <v>714</v>
      </c>
      <c r="D5" s="1047">
        <f>IF(ISBLANK('Start Page'!AB18),"",'Start Page'!AB18)</f>
        <v>2025</v>
      </c>
      <c r="E5" s="1048"/>
      <c r="F5" s="1048"/>
      <c r="G5" s="1049"/>
      <c r="H5" s="1041" t="str">
        <f>IF(ISBLANK('Start Page'!AB20),"",TEXT('Start Page'!AB20,"mmm dd yyyy")&amp;" - "&amp;TEXT('Start Page'!AB21,"mmm dd yyyy"))</f>
        <v>Jan 01 2025 - Dec 31 2025</v>
      </c>
      <c r="I5" s="1042"/>
      <c r="J5" s="1043"/>
      <c r="K5" s="1045" t="str">
        <f>IF(ISBLANK('Start Page'!AB19),"",'Start Page'!AB19)</f>
        <v>Calendar</v>
      </c>
      <c r="L5" s="1042"/>
      <c r="M5" s="1042"/>
      <c r="N5" s="1042"/>
      <c r="O5" s="1042"/>
      <c r="P5" s="104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68" t="s">
        <v>1211</v>
      </c>
      <c r="R8" s="106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0"/>
      <c r="V9" s="91"/>
    </row>
    <row r="10" spans="1:33" ht="3" hidden="1" customHeight="1">
      <c r="A10" s="91"/>
      <c r="B10" s="260"/>
      <c r="D10" s="53"/>
      <c r="E10" s="512"/>
      <c r="F10" s="255"/>
      <c r="G10" s="53"/>
      <c r="S10" s="490"/>
      <c r="T10" s="490"/>
      <c r="U10" s="1040"/>
      <c r="V10" s="91"/>
    </row>
    <row r="11" spans="1:33" ht="3" hidden="1" customHeight="1">
      <c r="A11" s="91"/>
      <c r="B11" s="260"/>
      <c r="D11" s="53"/>
      <c r="E11" s="512"/>
      <c r="F11" s="255"/>
      <c r="G11" s="53"/>
      <c r="S11" s="490"/>
      <c r="T11" s="490"/>
      <c r="U11" s="1040"/>
      <c r="V11" s="91"/>
    </row>
    <row r="12" spans="1:33" ht="15.6" customHeight="1" thickBot="1">
      <c r="A12" s="91"/>
      <c r="B12" s="260"/>
      <c r="C12" s="99"/>
      <c r="D12" s="99"/>
      <c r="E12" s="513"/>
      <c r="F12" s="99"/>
      <c r="G12" s="99"/>
      <c r="H12" s="99"/>
      <c r="I12" s="99"/>
      <c r="J12" s="259"/>
      <c r="K12" s="1044" t="s">
        <v>712</v>
      </c>
      <c r="L12" s="1044"/>
      <c r="M12" s="1044"/>
      <c r="N12" s="1044"/>
      <c r="O12" s="1044"/>
      <c r="P12" s="1044"/>
      <c r="Q12" s="1044"/>
      <c r="R12" s="1044"/>
      <c r="S12" s="1044"/>
      <c r="T12" s="1044"/>
      <c r="U12" s="1040"/>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0"/>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217.01499999999999</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2E-3</v>
      </c>
      <c r="P15" s="580" t="s">
        <v>787</v>
      </c>
      <c r="Q15" s="1033"/>
      <c r="R15" s="1038"/>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0.43402999999999997</v>
      </c>
      <c r="Y15" s="103">
        <f>$Y$19/$Y$18*H15</f>
        <v>34.930139720558884</v>
      </c>
      <c r="Z15" s="147">
        <f>$Y$19/$Y$18*ABS(X15)</f>
        <v>6.9860279441117765E-2</v>
      </c>
      <c r="AA15" s="896">
        <f>IF(W15=1,input_VOS-input_VOS/(1+O15*AB15),Q15*AB15)</f>
        <v>-0.43489979959920788</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217.44989979959919</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38"/>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38"/>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71" t="s">
        <v>789</v>
      </c>
      <c r="U18" s="558"/>
      <c r="V18" s="91"/>
      <c r="W18" s="144"/>
      <c r="X18" s="104"/>
      <c r="Y18" s="103">
        <f>H15+H16+H17+IF(H15&gt;0,ABS(X15),0)+IF(H16&gt;0,ABS(X16),0)+IF(H17&gt;0,(ABS(X17)),)</f>
        <v>217.44902999999999</v>
      </c>
      <c r="Z18" s="148"/>
      <c r="AF18" s="264">
        <f>SUM(AF15:AF17)</f>
        <v>0</v>
      </c>
      <c r="AG18" s="46" t="s">
        <v>1199</v>
      </c>
    </row>
    <row r="19" spans="1:33" ht="13.8" thickBot="1">
      <c r="A19" s="91"/>
      <c r="B19" s="561"/>
      <c r="C19" s="1074" t="s">
        <v>109</v>
      </c>
      <c r="D19" s="1074"/>
      <c r="E19" s="1074"/>
      <c r="F19" s="1074"/>
      <c r="G19" s="265"/>
      <c r="H19" s="868">
        <f>IF(AF18&gt;0,"Select under/over",IF(H15&gt;0,IF(W15=1,H15/(1+O15*AB15),H15-Q15*AB15),0)+IF(H16&gt;0,IF(W16=1,H16/(1+O16*AB16),H16-Q16*AB16),0)-IF(H17&gt;0,IF(W17=1,H17/(1+O17*AB17),H17-Q17*AB17),0))</f>
        <v>217.44989979959919</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1"/>
      <c r="U19" s="261"/>
      <c r="V19" s="91"/>
      <c r="W19" s="149"/>
      <c r="X19" s="150"/>
      <c r="Y19" s="150">
        <f>'M36 Refs'!AE121</f>
        <v>35</v>
      </c>
      <c r="Z19" s="151" t="s">
        <v>133</v>
      </c>
    </row>
    <row r="20" spans="1:33" ht="5.25" customHeight="1">
      <c r="A20" s="91"/>
      <c r="B20" s="561"/>
      <c r="C20" s="94"/>
      <c r="D20" s="94"/>
      <c r="E20" s="515"/>
      <c r="F20" s="271"/>
      <c r="G20" s="94"/>
      <c r="O20" s="264"/>
      <c r="P20" s="264"/>
      <c r="Q20" s="264"/>
      <c r="T20" s="107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1"/>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71"/>
      <c r="U22" s="256"/>
      <c r="V22" s="91"/>
    </row>
    <row r="23" spans="1:33">
      <c r="A23" s="91"/>
      <c r="B23" s="562" t="s">
        <v>910</v>
      </c>
      <c r="C23" s="529" t="s">
        <v>481</v>
      </c>
      <c r="D23" s="841" t="s">
        <v>881</v>
      </c>
      <c r="E23" s="577" t="s">
        <v>882</v>
      </c>
      <c r="F23" s="492">
        <f>'Interactive Data Grading'!D177</f>
        <v>9</v>
      </c>
      <c r="G23" s="94"/>
      <c r="H23" s="321">
        <v>122.37</v>
      </c>
      <c r="I23" s="269"/>
      <c r="J23" s="270" t="str">
        <f>IF('Start Page'!$AB$22="million gallons (US)","MG/Yr",IF('Start Page'!$AB$22="Megalitres (thousand cubic metres)","ML/Yr",IF('Start Page'!$AB$22="acre-feet","Acre-ft/Yr","")))</f>
        <v>MG/Yr</v>
      </c>
      <c r="K23" s="270"/>
      <c r="L23" s="270"/>
      <c r="M23" s="270"/>
      <c r="N23" s="270"/>
      <c r="T23" s="1071"/>
      <c r="U23" s="256"/>
      <c r="V23" s="91"/>
      <c r="W23" s="152"/>
      <c r="X23" s="141"/>
      <c r="Y23" s="153">
        <f>IFERROR($Y$26/$Y$25*H23,7)</f>
        <v>13.965761799951089</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3.4238200048911711E-2</v>
      </c>
      <c r="Z24" s="146"/>
    </row>
    <row r="25" spans="1:33" ht="13.35" customHeight="1">
      <c r="A25" s="91"/>
      <c r="B25" s="562" t="s">
        <v>919</v>
      </c>
      <c r="C25" s="529" t="s">
        <v>483</v>
      </c>
      <c r="D25" s="841" t="s">
        <v>881</v>
      </c>
      <c r="E25" s="577" t="s">
        <v>882</v>
      </c>
      <c r="F25" s="492">
        <f>'Interactive Data Grading'!D224</f>
        <v>10</v>
      </c>
      <c r="G25" s="94"/>
      <c r="H25" s="501">
        <v>0.3</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122.67</v>
      </c>
      <c r="Z25" s="146"/>
      <c r="AF25" s="99" t="s">
        <v>148</v>
      </c>
    </row>
    <row r="26" spans="1:33" ht="15" customHeight="1" thickBot="1">
      <c r="A26" s="91"/>
      <c r="B26" s="562" t="s">
        <v>920</v>
      </c>
      <c r="C26" s="529" t="s">
        <v>484</v>
      </c>
      <c r="D26" s="841" t="s">
        <v>881</v>
      </c>
      <c r="E26" s="577" t="s">
        <v>882</v>
      </c>
      <c r="F26" s="492">
        <f>'Interactive Data Grading'!D247</f>
        <v>8</v>
      </c>
      <c r="G26" s="94"/>
      <c r="H26" s="498">
        <f>IF(OR(W26=1,AND(W26=2,Q26=0)),O26*SUM(H23:H24),Q26)</f>
        <v>1.74</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1.74</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1" t="s">
        <v>108</v>
      </c>
      <c r="D30" s="1051"/>
      <c r="E30" s="1051"/>
      <c r="F30" s="1051"/>
      <c r="G30" s="265"/>
      <c r="H30" s="868">
        <f>SUM(H23:H26)</f>
        <v>124.41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39" t="str">
        <f>IF(AND(H30&gt;=H19,(H30&lt;&gt;0)),"               Check input values; WATER SUPPLIED should be greater than AUTHORIZED CONSUMPTION","")</f>
        <v/>
      </c>
      <c r="D32" s="1039"/>
      <c r="E32" s="1039"/>
      <c r="F32" s="1039"/>
      <c r="G32" s="1039"/>
      <c r="H32" s="1039"/>
      <c r="I32" s="1039"/>
      <c r="J32" s="1039"/>
      <c r="K32" s="1039"/>
      <c r="L32" s="1039"/>
      <c r="M32" s="1039"/>
      <c r="N32" s="1039"/>
      <c r="O32" s="103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93.039899799599198</v>
      </c>
      <c r="J35" s="270" t="str">
        <f>IF('Start Page'!$AB$22="million gallons (US)","MG/Yr",IF('Start Page'!$AB$22="Megalitres (thousand cubic metres)","ML/Yr",IF('Start Page'!$AB$22="acre-feet","Acre-ft/Yr","")))</f>
        <v>MG/Yr</v>
      </c>
      <c r="K35" s="270"/>
      <c r="L35" s="270"/>
      <c r="M35" s="270"/>
      <c r="N35" s="270"/>
      <c r="P35" s="1032"/>
      <c r="U35" s="256"/>
      <c r="V35" s="91"/>
    </row>
    <row r="36" spans="1:29" ht="13.35" customHeight="1">
      <c r="A36" s="91"/>
      <c r="B36" s="562"/>
      <c r="C36" s="279"/>
      <c r="D36" s="265"/>
      <c r="E36" s="512"/>
      <c r="F36" s="276"/>
      <c r="G36" s="53"/>
      <c r="P36" s="103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10</v>
      </c>
      <c r="G39" s="204"/>
      <c r="H39" s="499">
        <f>IF(OR(W39=1,AND(W39=2,Q39=0)),O39*SUM(H23:H24),Q39)</f>
        <v>0.27700000000000002</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0.27700000000000002</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4</v>
      </c>
      <c r="G41" s="204"/>
      <c r="H41" s="602">
        <f>IF(OR(T41="Select…..",T41=""),"Select under/over",IF(W41=1,((H23+H25)/(1-(O41*X41)))-(H23+H25),Q41*X41))</f>
        <v>2.5034693877551035</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10.196999999999999</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10.196999999999999</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7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2"/>
      <c r="U45" s="256"/>
      <c r="V45" s="91"/>
    </row>
    <row r="46" spans="1:29" ht="14.1" customHeight="1">
      <c r="A46" s="91"/>
      <c r="B46" s="562"/>
      <c r="C46" s="1050" t="s">
        <v>42</v>
      </c>
      <c r="D46" s="1050"/>
      <c r="E46" s="1050"/>
      <c r="F46" s="1050"/>
      <c r="G46" s="216"/>
      <c r="H46" s="868">
        <f t="array" ref="H46">SUM(IF(ISNUMBER(H39:H43),H39:H43))</f>
        <v>12.977469387755104</v>
      </c>
      <c r="I46" s="204"/>
      <c r="J46" s="270" t="str">
        <f>IF('Start Page'!$AB$22="million gallons (US)","MG/Yr",IF('Start Page'!$AB$22="Megalitres (thousand cubic metres)","ML/Yr",IF('Start Page'!$AB$22="acre-feet","Acre-ft/Yr","")))</f>
        <v>MG/Yr</v>
      </c>
      <c r="K46" s="270"/>
      <c r="L46" s="270"/>
      <c r="M46" s="270"/>
      <c r="N46" s="270"/>
      <c r="Q46" s="281"/>
      <c r="R46" s="281"/>
      <c r="T46" s="1072"/>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2"/>
      <c r="U47" s="256"/>
      <c r="V47" s="91"/>
    </row>
    <row r="48" spans="1:29" ht="18" customHeight="1">
      <c r="A48" s="91"/>
      <c r="B48" s="562"/>
      <c r="C48" s="1073" t="str">
        <f>IF(AND(H46&gt;=H35,(H46&lt;&gt;0)),"Check input values; APPARENT LOSSES should be less than WATER LOSSES","")</f>
        <v/>
      </c>
      <c r="D48" s="1073"/>
      <c r="E48" s="1073"/>
      <c r="F48" s="1073"/>
      <c r="G48" s="1073"/>
      <c r="H48" s="1073"/>
      <c r="I48" s="1073"/>
      <c r="J48" s="1073"/>
      <c r="K48" s="1073"/>
      <c r="L48" s="1073"/>
      <c r="M48" s="1073"/>
      <c r="N48" s="1073"/>
      <c r="O48" s="1073"/>
      <c r="Q48" s="281"/>
      <c r="R48" s="281"/>
      <c r="S48" s="488"/>
      <c r="T48" s="1072"/>
      <c r="U48" s="256"/>
      <c r="V48" s="91"/>
      <c r="X48" s="130" t="s">
        <v>270</v>
      </c>
      <c r="Y48" s="131" t="s">
        <v>271</v>
      </c>
      <c r="AA48" s="1070"/>
      <c r="AB48" s="1070"/>
      <c r="AC48" s="1070"/>
    </row>
    <row r="49" spans="1:29" ht="2.25" customHeight="1">
      <c r="A49" s="91"/>
      <c r="B49" s="562"/>
      <c r="C49" s="204"/>
      <c r="D49" s="284"/>
      <c r="E49" s="519"/>
      <c r="F49" s="285"/>
      <c r="G49" s="284"/>
      <c r="I49" s="284"/>
      <c r="J49" s="272"/>
      <c r="K49" s="272"/>
      <c r="L49" s="272"/>
      <c r="M49" s="272"/>
      <c r="N49" s="272"/>
      <c r="O49" s="269"/>
      <c r="Q49" s="281"/>
      <c r="R49" s="281"/>
      <c r="S49" s="281"/>
      <c r="T49" s="1072"/>
      <c r="U49" s="256"/>
      <c r="V49" s="91"/>
      <c r="X49" s="132"/>
      <c r="Y49" s="133"/>
      <c r="AA49" s="1070"/>
      <c r="AB49" s="1070"/>
      <c r="AC49" s="1070"/>
    </row>
    <row r="50" spans="1:29" ht="15" customHeight="1" thickBot="1">
      <c r="A50" s="91"/>
      <c r="B50" s="562"/>
      <c r="C50" s="94" t="s">
        <v>669</v>
      </c>
      <c r="D50" s="284"/>
      <c r="E50" s="519"/>
      <c r="F50" s="283"/>
      <c r="G50" s="284"/>
      <c r="H50" s="101"/>
      <c r="J50" s="101"/>
      <c r="K50" s="101"/>
      <c r="L50" s="101"/>
      <c r="M50" s="286"/>
      <c r="N50" s="101"/>
      <c r="Q50" s="281"/>
      <c r="R50" s="281"/>
      <c r="S50" s="281"/>
      <c r="T50" s="1072"/>
      <c r="U50" s="256"/>
      <c r="V50" s="91"/>
      <c r="X50" s="134">
        <f>IFERROR(IF(W41=1,((H23)/(1-(O41*X41)))-(H23),Q41*H23/(H23+H25)),0)</f>
        <v>2.4973469387755074</v>
      </c>
      <c r="Y50" s="135">
        <f>IFERROR(IF(W41=1,((H25)/(1-(O41*X41)))-(H25),Q41*H25/(H23+H25)),0)</f>
        <v>6.1224489795918546E-3</v>
      </c>
      <c r="Z50" s="923">
        <f>SUM(X50:Y50)</f>
        <v>2.5034693877550991</v>
      </c>
      <c r="AA50" s="1070"/>
      <c r="AB50" s="1070"/>
      <c r="AC50" s="1070"/>
    </row>
    <row r="51" spans="1:29">
      <c r="A51" s="91"/>
      <c r="B51" s="562"/>
      <c r="C51" s="1050" t="s">
        <v>662</v>
      </c>
      <c r="D51" s="1050"/>
      <c r="E51" s="1050"/>
      <c r="F51" s="1050"/>
      <c r="G51" s="869"/>
      <c r="H51" s="868">
        <f>IFERROR(H35-H46,"")</f>
        <v>80.06243041184409</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39932.577551020368</v>
      </c>
      <c r="Y51" s="940">
        <f>Y50*input_VPC</f>
        <v>10.997938775510235</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1" t="s">
        <v>107</v>
      </c>
      <c r="D53" s="1051"/>
      <c r="E53" s="1051"/>
      <c r="F53" s="1051"/>
      <c r="G53" s="583"/>
      <c r="H53" s="868">
        <f>IFERROR(H46+H51,"")</f>
        <v>93.039899799599198</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1" t="s">
        <v>72</v>
      </c>
      <c r="D57" s="1051"/>
      <c r="E57" s="1051"/>
      <c r="F57" s="1051"/>
      <c r="G57" s="869"/>
      <c r="H57" s="868">
        <f>IFERROR(H35+H25+H26,"")</f>
        <v>95.07989979959919</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60.1</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3017</v>
      </c>
      <c r="I62" s="291"/>
      <c r="J62" s="292"/>
      <c r="K62" s="101"/>
      <c r="L62" s="101"/>
      <c r="M62" s="292" t="s">
        <v>902</v>
      </c>
      <c r="N62" s="101"/>
      <c r="U62" s="256"/>
      <c r="V62" s="91"/>
    </row>
    <row r="63" spans="1:29">
      <c r="A63" s="91"/>
      <c r="B63" s="562"/>
      <c r="C63" s="529" t="s">
        <v>165</v>
      </c>
      <c r="D63" s="53"/>
      <c r="E63" s="512"/>
      <c r="F63" s="273"/>
      <c r="G63" s="53"/>
      <c r="H63" s="500">
        <f>IF(ISERROR(H62/H61),"",H62/H61)</f>
        <v>50.199667221297837</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28" t="s">
        <v>769</v>
      </c>
      <c r="D65" s="1028"/>
      <c r="E65" s="1028"/>
      <c r="F65" s="1028"/>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20.2</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52" t="str">
        <f>IF(H65="Yes","Average length of customer service line has been set to zero and a data grading of 10 has been applied","")</f>
        <v/>
      </c>
      <c r="D67" s="1052"/>
      <c r="E67" s="1052"/>
      <c r="F67" s="1052"/>
      <c r="G67" s="1052"/>
      <c r="H67" s="1052"/>
      <c r="I67" s="1052"/>
      <c r="J67" s="1052"/>
      <c r="K67" s="1052"/>
      <c r="L67" s="1052"/>
      <c r="M67" s="1052"/>
      <c r="N67" s="1052"/>
      <c r="O67" s="1052"/>
      <c r="P67" s="294"/>
      <c r="Q67" s="294"/>
      <c r="R67" s="294"/>
      <c r="S67" s="294"/>
      <c r="T67" s="294"/>
      <c r="U67" s="256"/>
      <c r="V67" s="91"/>
      <c r="W67" s="55">
        <f>IF(H65="Yes",0,H66)</f>
        <v>20.2</v>
      </c>
      <c r="X67" s="54" t="s">
        <v>130</v>
      </c>
      <c r="Y67" s="54"/>
      <c r="Z67" s="54"/>
    </row>
    <row r="68" spans="1:26">
      <c r="A68" s="91"/>
      <c r="B68" s="562" t="s">
        <v>915</v>
      </c>
      <c r="C68" s="529" t="s">
        <v>487</v>
      </c>
      <c r="D68" s="841" t="s">
        <v>881</v>
      </c>
      <c r="E68" s="577" t="s">
        <v>882</v>
      </c>
      <c r="F68" s="492">
        <f>'Interactive Data Grading'!D422</f>
        <v>8</v>
      </c>
      <c r="G68" s="53"/>
      <c r="H68" s="325">
        <v>79.2</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58" t="s">
        <v>71</v>
      </c>
      <c r="K76" s="1059"/>
      <c r="L76" s="1059"/>
      <c r="M76" s="1060"/>
      <c r="O76" s="1061" t="str">
        <f>IF(AND(NOT(ISBLANK(H76)),ISBLANK(J76)),"&lt;----Enter units","")</f>
        <v/>
      </c>
      <c r="P76" s="1061"/>
      <c r="Q76" s="1065" t="s">
        <v>903</v>
      </c>
      <c r="R76" s="1065"/>
      <c r="S76" s="1065"/>
      <c r="U76" s="256"/>
      <c r="V76" s="91"/>
    </row>
    <row r="77" spans="1:26" ht="13.5" customHeight="1">
      <c r="A77" s="91"/>
      <c r="B77" s="562" t="s">
        <v>913</v>
      </c>
      <c r="C77" s="529" t="s">
        <v>925</v>
      </c>
      <c r="D77" s="841" t="s">
        <v>881</v>
      </c>
      <c r="E77" s="577" t="s">
        <v>882</v>
      </c>
      <c r="F77" s="492">
        <f>'Interactive Data Grading'!D469</f>
        <v>10</v>
      </c>
      <c r="H77" s="326">
        <v>1796.33</v>
      </c>
      <c r="J77" s="270" t="str">
        <f>"$/"&amp;IF('Start Page'!$AB$22="million gallons (US)","Million gallons",IF('Start Page'!$AB$22="Megalitres (thousand cubic metres)","Megalitre",IF('Start Page'!$AB$22="acre-feet","acre-ft","")))</f>
        <v>$/Million gallons</v>
      </c>
      <c r="K77" s="1066" t="str">
        <f>IF(Z77=1,"&lt;&lt;&lt; Using CRUC as basis for VPC","")</f>
        <v/>
      </c>
      <c r="L77" s="1066"/>
      <c r="M77" s="1066"/>
      <c r="N77" s="1066"/>
      <c r="O77" s="1066"/>
      <c r="P77" s="1067"/>
      <c r="Q77" s="1062">
        <v>1007935</v>
      </c>
      <c r="R77" s="1063"/>
      <c r="S77" s="1064"/>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3" t="str">
        <f>IF(OR(ISBLANK(J76),ISBLANK(J77),ISBLANK(H77),ISBLANK('Start Page'!AB22)),"",IF(H76*INDEX(Sheet1!B2:D4,MATCH('Start Page'!AB22,Sheet1!A2:A4,0),MATCH(J76,Sheet1!B1:D1,0))/H77&gt;1,"","Retail costs are less than (or equal to) production costs; please review and correct if necessary"))</f>
        <v/>
      </c>
      <c r="D79" s="1053"/>
      <c r="E79" s="1053"/>
      <c r="F79" s="1053"/>
      <c r="G79" s="1053"/>
      <c r="H79" s="1053"/>
      <c r="I79" s="1053"/>
      <c r="J79" s="1053"/>
      <c r="K79" s="1053"/>
      <c r="L79" s="1053"/>
      <c r="M79" s="1053"/>
      <c r="N79" s="1053"/>
      <c r="O79" s="1053"/>
      <c r="P79" s="1053"/>
      <c r="Q79" s="105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56"/>
      <c r="E84" s="1056"/>
      <c r="F84" s="1056"/>
      <c r="G84" s="1056"/>
      <c r="H84" s="1056"/>
      <c r="I84" s="1056"/>
      <c r="J84" s="1056"/>
      <c r="K84" s="1056"/>
      <c r="L84" s="1056"/>
      <c r="M84" s="1056"/>
      <c r="N84" s="1056"/>
      <c r="O84" s="1056"/>
      <c r="P84" s="1056"/>
      <c r="Q84" s="1056"/>
      <c r="R84" s="1057"/>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4"/>
      <c r="E86" s="1054"/>
      <c r="F86" s="1054"/>
      <c r="G86" s="1054"/>
      <c r="H86" s="1054"/>
      <c r="I86" s="1054"/>
      <c r="J86" s="1054"/>
      <c r="K86" s="1054"/>
      <c r="L86" s="1054"/>
      <c r="M86" s="1054"/>
      <c r="N86" s="1054"/>
      <c r="O86" s="1054"/>
      <c r="P86" s="1054"/>
      <c r="Q86" s="1054"/>
      <c r="R86" s="1054"/>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Billed Metered (BMAC)</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Unauthorized Consumption (UC)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89" activePane="bottomLeft" state="frozen"/>
      <selection activeCell="B15" sqref="B15:F17"/>
      <selection pane="bottomLeft" activeCell="A89" sqref="A89:D111"/>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- 540 Susquehanna</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336</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838</v>
      </c>
      <c r="E244" s="753" t="str">
        <f>IF(OR($D$247=10,$D$247=3),"",IFERROR(IF(H244=MIN($H$244:$H$246),"Limiting",""),""))</f>
        <v>Limiting</v>
      </c>
      <c r="F244" s="327"/>
      <c r="H244" s="818">
        <f>VLOOKUP('Interactive Data Grading'!D244,UUAC!$C$6:$F$15,4,FALSE)</f>
        <v>8</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8</v>
      </c>
      <c r="E247" s="753"/>
      <c r="F247" s="327"/>
      <c r="H247" s="821">
        <f>MIN(H244:H246)</f>
        <v>8</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658</v>
      </c>
      <c r="E270" s="753" t="str">
        <f>IF(OR($D$271=10,$D$271=3),"",IFERROR(IF(H270=MIN($H$267:$H$270),"Limiting",""),""))</f>
        <v/>
      </c>
      <c r="F270" s="327"/>
      <c r="H270" s="818">
        <f>VLOOKUP('Interactive Data Grading'!D270,SDHE!$F$6:$G$15,2,FALSE)</f>
        <v>10</v>
      </c>
      <c r="I270" s="819"/>
      <c r="N270" s="1078"/>
      <c r="O270" s="1078"/>
    </row>
    <row r="271" spans="1:18" ht="27.6" customHeight="1">
      <c r="A271" s="215"/>
      <c r="B271" s="215"/>
      <c r="C271" s="328" t="s">
        <v>313</v>
      </c>
      <c r="D271" s="895">
        <f>IFERROR((IF(D266=SDHE!A3,3,H271)),"")</f>
        <v>10</v>
      </c>
      <c r="E271" s="753"/>
      <c r="F271" s="327"/>
      <c r="H271" s="821">
        <f>MIN(H267:H270)</f>
        <v>10</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78"/>
      <c r="O292" s="1078"/>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855</v>
      </c>
      <c r="E294" s="753" t="str">
        <f t="shared" si="17"/>
        <v>Limiting</v>
      </c>
      <c r="F294" s="327"/>
      <c r="G294" s="810">
        <f t="shared" si="16"/>
        <v>1</v>
      </c>
      <c r="H294" s="818">
        <f>VLOOKUP('Interactive Data Grading'!D294,CMI!$F$6:$J$16,5,FALSE)</f>
        <v>4</v>
      </c>
      <c r="I294" s="818">
        <f>H294</f>
        <v>4</v>
      </c>
    </row>
    <row r="295" spans="1:18" ht="29.4" customHeight="1">
      <c r="A295" s="215"/>
      <c r="B295" s="555" t="s">
        <v>503</v>
      </c>
      <c r="C295" s="884" t="str">
        <f>CMI!B39</f>
        <v xml:space="preserve">Which best describes what meters are included in the proactive mid- and large customer meter testing activities? </v>
      </c>
      <c r="D295" s="329" t="s">
        <v>858</v>
      </c>
      <c r="E295" s="753" t="str">
        <f t="shared" si="17"/>
        <v/>
      </c>
      <c r="F295" s="327"/>
      <c r="G295" s="899">
        <f>IF(OR($D$294=CMI!$F$23,$D$294=CMI!F$24),1,IF(LEN(D295)&gt;0,1,0))</f>
        <v>1</v>
      </c>
      <c r="H295" s="818">
        <f>VLOOKUP('Interactive Data Grading'!D295,CMI!$G$6:$J$16,4,FALSE)</f>
        <v>7</v>
      </c>
      <c r="I295" s="818" t="e">
        <f>IF(OR(D294=CMI!F23,D294=CMI!F24),X,H295)</f>
        <v>#NAME?</v>
      </c>
      <c r="J295" s="810" t="s">
        <v>525</v>
      </c>
    </row>
    <row r="296" spans="1:18" ht="29.4" customHeight="1">
      <c r="A296" s="215"/>
      <c r="B296" s="555" t="s">
        <v>526</v>
      </c>
      <c r="C296" s="884" t="str">
        <f>CMI!B40</f>
        <v>Which best describes how the input was derived?</v>
      </c>
      <c r="D296" s="329" t="s">
        <v>963</v>
      </c>
      <c r="E296" s="753" t="str">
        <f t="shared" si="17"/>
        <v/>
      </c>
      <c r="F296" s="327"/>
      <c r="G296" s="810">
        <f t="shared" si="16"/>
        <v>1</v>
      </c>
      <c r="H296" s="818">
        <f>VLOOKUP('Interactive Data Grading'!D296,CMI!$H$6:$J$16,3,FALSE)</f>
        <v>8</v>
      </c>
      <c r="I296" s="818">
        <f>H296</f>
        <v>8</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4</v>
      </c>
      <c r="E300" s="753"/>
      <c r="F300" s="327"/>
      <c r="G300" s="810">
        <f>MIN(G290:G299)</f>
        <v>1</v>
      </c>
      <c r="H300" s="821">
        <f t="array" ref="H300">MIN(IF(ISNUMBER(H291:H297),H291:H297))</f>
        <v>4</v>
      </c>
      <c r="I300" s="821">
        <f t="array" ref="I300">MIN(IF(ISNUMBER(I290:I299),I290:I299))</f>
        <v>4</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639</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- 540 Susquehanna</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92</v>
      </c>
      <c r="BS6" s="710"/>
      <c r="BT6" s="709"/>
      <c r="BU6" s="711"/>
      <c r="BV6" s="711"/>
      <c r="BW6" s="711"/>
      <c r="BX6" s="58"/>
      <c r="BY6" s="58"/>
    </row>
    <row r="7" spans="1:77" s="244" customFormat="1" ht="12.9" customHeight="1">
      <c r="A7" s="243"/>
      <c r="B7" s="335"/>
      <c r="C7" s="58"/>
      <c r="D7" s="247"/>
      <c r="E7" s="852"/>
      <c r="F7" s="247"/>
      <c r="G7" s="247"/>
      <c r="H7" s="678"/>
      <c r="I7" s="792" t="s">
        <v>237</v>
      </c>
      <c r="J7" s="1090">
        <f>BR6</f>
        <v>92</v>
      </c>
      <c r="K7" s="1090"/>
      <c r="L7" s="793"/>
      <c r="M7" s="793"/>
      <c r="N7" s="793"/>
      <c r="O7" s="793"/>
      <c r="P7" s="793"/>
      <c r="Q7" s="792" t="s">
        <v>681</v>
      </c>
      <c r="R7" s="1089" t="str">
        <f>IF(BO2&gt;0,"",BR4)</f>
        <v>Tier V (91-100)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92</v>
      </c>
      <c r="BT8" s="483"/>
      <c r="BU8" s="241"/>
      <c r="BV8" s="241"/>
      <c r="BW8" s="241"/>
    </row>
    <row r="9" spans="1:77" ht="12.9"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106.73333333333333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result is above 90th %ile</v>
      </c>
      <c r="AC14" s="1099"/>
      <c r="AD14" s="1099"/>
      <c r="AE14" s="1099"/>
      <c r="AF14" s="682"/>
      <c r="AG14" s="619"/>
      <c r="AH14" s="680"/>
      <c r="AI14" s="680"/>
      <c r="AJ14" s="247"/>
      <c r="AK14" s="247"/>
      <c r="AL14" s="1099" t="str">
        <f>IF(BS22&lt;0,"negative result check inputs",IF($BS$23=0,"result is below 10th %ile",IF($BS$22&gt;$BS$23,"result is above 90th %ile","")))</f>
        <v>result is above 90th %ile</v>
      </c>
      <c r="AM14" s="1099"/>
      <c r="AN14" s="1099"/>
      <c r="AO14" s="1099"/>
      <c r="AP14" s="247"/>
      <c r="AQ14" s="247"/>
      <c r="AR14" s="247"/>
      <c r="AS14" s="247"/>
      <c r="AT14" s="247"/>
      <c r="AU14" s="247"/>
      <c r="AV14" s="1099" t="str">
        <f>IF(BS29&lt;0,"negative result check inputs",IF($BS$30=0,"result is below 10th %ile",IF($BS$29&gt;$BS$30,"result is above 90th %ile","")))</f>
        <v>result is above 90th %ile</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116.42074282781033</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57.801400497346833</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116.42074282781033</v>
      </c>
      <c r="AB18" s="1100"/>
      <c r="AC18" s="1100"/>
      <c r="AD18" s="871" t="str">
        <f>BD13</f>
        <v>$/conn/year</v>
      </c>
      <c r="AE18" s="872"/>
      <c r="AF18" s="873"/>
      <c r="AG18" s="873"/>
      <c r="AH18" s="874"/>
      <c r="AI18" s="874"/>
      <c r="AJ18" s="872"/>
      <c r="AK18" s="1100">
        <f>BS22</f>
        <v>68.751354156379136</v>
      </c>
      <c r="AL18" s="1100"/>
      <c r="AM18" s="1100"/>
      <c r="AN18" s="871" t="str">
        <f>BD13</f>
        <v>$/conn/year</v>
      </c>
      <c r="AO18" s="872"/>
      <c r="AP18" s="872"/>
      <c r="AQ18" s="872"/>
      <c r="AR18" s="872"/>
      <c r="AS18" s="872"/>
      <c r="AT18" s="872"/>
      <c r="AU18" s="1100">
        <f>BS29</f>
        <v>47.669388671431186</v>
      </c>
      <c r="AV18" s="1100"/>
      <c r="AW18" s="1100"/>
      <c r="AX18" s="871" t="str">
        <f>BD13</f>
        <v>$/conn/year</v>
      </c>
      <c r="AY18" s="701"/>
      <c r="AZ18" s="247"/>
      <c r="BA18" s="247"/>
      <c r="BB18" s="342"/>
      <c r="BC18" s="109"/>
      <c r="BD18" s="58" t="s">
        <v>706</v>
      </c>
      <c r="BE18" s="234">
        <f>(((5.41*Worksheet!H61)+(0.15*Worksheet!H62)+(7.5*(Worksheet!H62*Worksheet!W67/5280)))*Worksheet!H68)/1000000*365</f>
        <v>24.983979790500005</v>
      </c>
      <c r="BN18" s="659"/>
      <c r="BO18" s="716" t="s">
        <v>1039</v>
      </c>
      <c r="BP18" s="718">
        <f>BQ18-BQ17</f>
        <v>8.9525318444022357</v>
      </c>
      <c r="BQ18" s="900">
        <f t="shared" si="0"/>
        <v>18.283980813778896</v>
      </c>
      <c r="BR18" s="716" t="s">
        <v>779</v>
      </c>
      <c r="BS18" s="720">
        <f>SUM(BP16:BP20)-SUM(BS16,BS17)</f>
        <v>56.876578089389284</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76.672918090198081</v>
      </c>
      <c r="BF19" s="233">
        <f>BE19*325851.427242/Worksheet!H62/365</f>
        <v>22.687855386145184</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145.08881837999999</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68.751354156379136</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84.48917304189429</v>
      </c>
      <c r="AB29" s="1104"/>
      <c r="AC29" s="1104"/>
      <c r="AD29" s="870" t="str">
        <f>BD10</f>
        <v>gal/conn/day</v>
      </c>
      <c r="AE29" s="870"/>
      <c r="AF29" s="875"/>
      <c r="AG29" s="875"/>
      <c r="AH29" s="700"/>
      <c r="AI29" s="700"/>
      <c r="AJ29" s="700"/>
      <c r="AK29" s="1104">
        <f>BS43</f>
        <v>11.784789741923714</v>
      </c>
      <c r="AL29" s="1104"/>
      <c r="AM29" s="1104"/>
      <c r="AN29" s="871" t="str">
        <f>BD10</f>
        <v>gal/conn/day</v>
      </c>
      <c r="AO29" s="700"/>
      <c r="AP29" s="700"/>
      <c r="AQ29" s="700"/>
      <c r="AR29" s="700"/>
      <c r="AS29" s="700"/>
      <c r="AT29" s="700"/>
      <c r="AU29" s="1110">
        <f>BS55</f>
        <v>72.704383299970573</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47.669388671431186</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35.54734395994759</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79.2</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34.978586456588431</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84.48917304189429</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84.48917304189429</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163.81041514926835</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3.2045507194289082</v>
      </c>
      <c r="AI41" s="1109"/>
      <c r="AJ41" s="1109"/>
      <c r="AK41" s="870" t="s">
        <v>1048</v>
      </c>
      <c r="AL41" s="799"/>
      <c r="AM41" s="800"/>
      <c r="AN41" s="796"/>
      <c r="AO41" s="796"/>
      <c r="AP41" s="796"/>
      <c r="AQ41" s="796"/>
      <c r="AR41" s="796"/>
      <c r="AS41" s="1108">
        <f>BS69</f>
        <v>3649.7358471882062</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24.983979790500005</v>
      </c>
      <c r="AL43" s="1106"/>
      <c r="AM43" s="1106"/>
      <c r="AN43" s="1106"/>
      <c r="AO43" s="916" t="str">
        <f>BD7</f>
        <v>MG/Yr</v>
      </c>
      <c r="AP43" s="700"/>
      <c r="AQ43" s="700"/>
      <c r="AR43" s="700"/>
      <c r="AS43" s="1106">
        <f>IF(BG19=1,BF19,IFERROR(AK43*1000000/Worksheet!H62/365,""))</f>
        <v>22.687855386145181</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11.784789741923714</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11.784789741923714</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20.59607285332946</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12.977469387755104</v>
      </c>
      <c r="J49" s="1115"/>
      <c r="K49" s="1115"/>
      <c r="L49" s="1115"/>
      <c r="M49" s="683"/>
      <c r="N49" s="1116">
        <f>IF(OR(ISBLANK('Start Page'!$AB$22),ISBLANK(Worksheet!J76)),"",(SUM(Worksheet!H43+Worksheet!H39+Worksheet!X50)*Worksheet!H76)*INDEX(Sheet1!B2:D4,MATCH('Start Page'!AB22,Sheet1!A2:A4,0),MATCH(Worksheet!J76,Sheet1!B1:D1,0))+Worksheet!Y50*Worksheet!H77)</f>
        <v>207422.83548979586</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80.06243041184409</v>
      </c>
      <c r="J50" s="1115"/>
      <c r="K50" s="1115"/>
      <c r="L50" s="1115"/>
      <c r="M50" s="683"/>
      <c r="N50" s="1116">
        <f>IFERROR(IF(Worksheet!H41="Select under/over","",IF(ISBLANK('Start Page'!AB22),"",Worksheet!H51*(IF(BD29=FALSE,Worksheet!H77,IF(BD29=TRUE,Worksheet!H76*INDEX(Sheet1!B2:D4,MATCH('Start Page'!AB22,Sheet1!A2:A4,0),MATCH(Worksheet!J76,Sheet1!B1:D1,0)),""))))),"")</f>
        <v>143818.54562170789</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2.04</v>
      </c>
      <c r="J51" s="1115"/>
      <c r="K51" s="1115"/>
      <c r="L51" s="1115"/>
      <c r="M51" s="683"/>
      <c r="N51" s="1116">
        <f>IFERROR(IF(SUM(Sheet1!D90:D91)=0,"",SUM(Sheet1!D90:D91)),"")</f>
        <v>3664.5131999999999</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95.079899799599204</v>
      </c>
      <c r="J52" s="1115"/>
      <c r="K52" s="1115"/>
      <c r="L52" s="1115"/>
      <c r="M52" s="683"/>
      <c r="N52" s="1116">
        <f>IF(SUM(N49:N51)=0,"",SUM(N49:N51))</f>
        <v>354905.89431150374</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72.704383299970573</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72.704383299970573</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156.3146490492424</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3.2045507194289082</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3.2045507194289082</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8.0616270077403342</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3649.7358471882062</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3649.7358471882062</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8401.3330625122962</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26.865808526427514</v>
      </c>
      <c r="BQ83" s="733">
        <f>BP83+BQ78</f>
        <v>79.2</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- 540 Susquehanna</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24"/>
      <c r="H7" s="1124"/>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18" t="s">
        <v>1137</v>
      </c>
      <c r="G10" s="1121"/>
      <c r="H10" s="1121"/>
    </row>
    <row r="11" spans="2:21" ht="28.95"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5" customHeight="1">
      <c r="B12" s="538"/>
      <c r="C12" s="518"/>
      <c r="D12" s="538"/>
      <c r="F12" s="1120"/>
      <c r="G12" s="1123"/>
      <c r="H12" s="1123"/>
      <c r="J12" s="838"/>
      <c r="K12" s="838"/>
      <c r="L12" s="838"/>
      <c r="M12" s="838"/>
      <c r="N12" s="838"/>
      <c r="O12" s="838"/>
      <c r="P12" s="838"/>
      <c r="Q12" s="838"/>
      <c r="R12" s="838"/>
      <c r="S12" s="838"/>
      <c r="T12" s="838"/>
      <c r="U12" s="838"/>
    </row>
    <row r="13" spans="2:21" ht="28.95" customHeight="1">
      <c r="B13" s="538"/>
      <c r="C13" s="518"/>
      <c r="D13" s="538"/>
      <c r="F13" s="1118" t="s">
        <v>1138</v>
      </c>
      <c r="G13" s="1121"/>
      <c r="H13" s="1121"/>
      <c r="J13" s="838"/>
      <c r="K13" s="838"/>
      <c r="L13" s="838"/>
      <c r="M13" s="838"/>
      <c r="N13" s="838"/>
      <c r="O13" s="838"/>
      <c r="P13" s="838"/>
      <c r="Q13" s="838"/>
      <c r="R13" s="838"/>
      <c r="S13" s="838"/>
      <c r="T13" s="838"/>
      <c r="U13" s="838"/>
    </row>
    <row r="14" spans="2:21" ht="28.95" customHeight="1">
      <c r="B14" s="845" t="s">
        <v>1154</v>
      </c>
      <c r="C14" s="518"/>
      <c r="D14" s="845" t="s">
        <v>1155</v>
      </c>
      <c r="F14" s="1119"/>
      <c r="G14" s="1122"/>
      <c r="H14" s="1122"/>
    </row>
    <row r="15" spans="2:21" ht="28.95" customHeight="1">
      <c r="B15" s="846"/>
      <c r="C15" s="518"/>
      <c r="D15" s="846"/>
      <c r="F15" s="1120"/>
      <c r="G15" s="1123"/>
      <c r="H15" s="1123"/>
    </row>
    <row r="16" spans="2:21" ht="28.95" customHeight="1">
      <c r="B16" s="538"/>
      <c r="C16" s="518"/>
      <c r="D16" s="538"/>
      <c r="F16" s="1118" t="s">
        <v>1139</v>
      </c>
      <c r="G16" s="1126"/>
      <c r="H16" s="1126"/>
    </row>
    <row r="17" spans="2:8" ht="28.95" customHeight="1">
      <c r="B17" s="845" t="s">
        <v>1154</v>
      </c>
      <c r="C17" s="518"/>
      <c r="D17" s="845" t="s">
        <v>1155</v>
      </c>
      <c r="F17" s="1119"/>
      <c r="G17" s="1127"/>
      <c r="H17" s="1127"/>
    </row>
    <row r="18" spans="2:8" ht="28.95" customHeight="1">
      <c r="B18" s="538"/>
      <c r="C18" s="518"/>
      <c r="D18" s="538"/>
      <c r="F18" s="1120"/>
      <c r="G18" s="1128"/>
      <c r="H18" s="1128"/>
    </row>
    <row r="19" spans="2:8" ht="28.95" customHeight="1">
      <c r="B19" s="538"/>
      <c r="C19" s="518"/>
      <c r="D19" s="538"/>
      <c r="F19" s="1118" t="s">
        <v>1140</v>
      </c>
      <c r="G19" s="1126"/>
      <c r="H19" s="1126"/>
    </row>
    <row r="20" spans="2:8" ht="28.95" customHeight="1">
      <c r="B20" s="845" t="s">
        <v>1154</v>
      </c>
      <c r="C20" s="518"/>
      <c r="D20" s="845" t="s">
        <v>1155</v>
      </c>
      <c r="F20" s="1119"/>
      <c r="G20" s="1127"/>
      <c r="H20" s="1127"/>
    </row>
    <row r="21" spans="2:8" ht="28.95" customHeight="1">
      <c r="B21" s="538"/>
      <c r="C21" s="518"/>
      <c r="D21" s="538"/>
      <c r="F21" s="1120"/>
      <c r="G21" s="1128"/>
      <c r="H21" s="1128"/>
    </row>
    <row r="22" spans="2:8" ht="28.95" customHeight="1">
      <c r="B22" s="538"/>
      <c r="C22" s="518"/>
      <c r="D22" s="538"/>
      <c r="F22" s="1118" t="s">
        <v>1131</v>
      </c>
      <c r="G22" s="1126"/>
      <c r="H22" s="1126"/>
    </row>
    <row r="23" spans="2:8" ht="28.95" customHeight="1">
      <c r="B23" s="845" t="s">
        <v>1154</v>
      </c>
      <c r="C23" s="518"/>
      <c r="D23" s="845" t="s">
        <v>1155</v>
      </c>
      <c r="F23" s="1119"/>
      <c r="G23" s="1127"/>
      <c r="H23" s="1127"/>
    </row>
    <row r="24" spans="2:8" ht="28.95" customHeight="1">
      <c r="B24" s="538"/>
      <c r="C24" s="518"/>
      <c r="D24" s="538"/>
      <c r="F24" s="1120"/>
      <c r="G24" s="1128"/>
      <c r="H24" s="1128"/>
    </row>
    <row r="25" spans="2:8" ht="28.95" customHeight="1">
      <c r="B25" s="538"/>
      <c r="C25" s="518"/>
      <c r="D25" s="538"/>
      <c r="F25" s="1118" t="s">
        <v>1141</v>
      </c>
      <c r="G25" s="1129"/>
      <c r="H25" s="1129"/>
    </row>
    <row r="26" spans="2:8" ht="28.95" customHeight="1">
      <c r="B26" s="845" t="s">
        <v>1154</v>
      </c>
      <c r="C26" s="518"/>
      <c r="D26" s="845" t="s">
        <v>1155</v>
      </c>
      <c r="F26" s="1119"/>
      <c r="G26" s="1130"/>
      <c r="H26" s="1130"/>
    </row>
    <row r="27" spans="2:8" ht="28.95" customHeight="1">
      <c r="B27" s="538"/>
      <c r="C27" s="518"/>
      <c r="D27" s="538"/>
      <c r="F27" s="1120"/>
      <c r="G27" s="1131"/>
      <c r="H27" s="1131"/>
    </row>
    <row r="28" spans="2:8" ht="28.95" customHeight="1">
      <c r="B28" s="538"/>
      <c r="C28" s="518"/>
      <c r="D28" s="538"/>
      <c r="F28" s="1118" t="s">
        <v>1142</v>
      </c>
      <c r="G28" s="1126"/>
      <c r="H28" s="1126"/>
    </row>
    <row r="29" spans="2:8" ht="28.95" customHeight="1">
      <c r="B29" s="845" t="s">
        <v>1154</v>
      </c>
      <c r="C29" s="518"/>
      <c r="D29" s="845" t="s">
        <v>1155</v>
      </c>
      <c r="F29" s="1119"/>
      <c r="G29" s="1127"/>
      <c r="H29" s="1127"/>
    </row>
    <row r="30" spans="2:8" ht="28.95" customHeight="1">
      <c r="B30" s="538"/>
      <c r="C30" s="518"/>
      <c r="D30" s="538"/>
      <c r="F30" s="1120"/>
      <c r="G30" s="1128"/>
      <c r="H30" s="1128"/>
    </row>
    <row r="31" spans="2:8" ht="28.95" customHeight="1">
      <c r="B31" s="538"/>
      <c r="C31" s="518"/>
      <c r="D31" s="538"/>
      <c r="F31" s="1118" t="s">
        <v>1143</v>
      </c>
      <c r="G31" s="1126"/>
      <c r="H31" s="1126"/>
    </row>
    <row r="32" spans="2:8" ht="28.95" customHeight="1">
      <c r="B32" s="845" t="s">
        <v>1154</v>
      </c>
      <c r="C32" s="518"/>
      <c r="D32" s="845" t="s">
        <v>1155</v>
      </c>
      <c r="F32" s="1119"/>
      <c r="G32" s="1127"/>
      <c r="H32" s="1127"/>
    </row>
    <row r="33" spans="2:8" ht="28.95" customHeight="1">
      <c r="B33" s="538"/>
      <c r="C33" s="518"/>
      <c r="D33" s="538"/>
      <c r="F33" s="1120"/>
      <c r="G33" s="1128"/>
      <c r="H33" s="1128"/>
    </row>
    <row r="34" spans="2:8" ht="28.95" customHeight="1">
      <c r="B34" s="538"/>
      <c r="C34" s="518"/>
      <c r="D34" s="538"/>
      <c r="F34" s="1118" t="s">
        <v>1144</v>
      </c>
      <c r="G34" s="1129"/>
      <c r="H34" s="1129"/>
    </row>
    <row r="35" spans="2:8" ht="28.95" customHeight="1">
      <c r="B35" s="845" t="s">
        <v>1154</v>
      </c>
      <c r="C35" s="518"/>
      <c r="D35" s="845" t="s">
        <v>1155</v>
      </c>
      <c r="F35" s="1119"/>
      <c r="G35" s="1130"/>
      <c r="H35" s="1130"/>
    </row>
    <row r="36" spans="2:8" ht="28.95" customHeight="1">
      <c r="B36" s="538"/>
      <c r="C36" s="518"/>
      <c r="D36" s="538"/>
      <c r="F36" s="1120"/>
      <c r="G36" s="1131"/>
      <c r="H36" s="1131"/>
    </row>
    <row r="37" spans="2:8" ht="28.95" customHeight="1">
      <c r="B37" s="538"/>
      <c r="C37" s="518"/>
      <c r="D37" s="538"/>
      <c r="F37" s="1118" t="s">
        <v>1145</v>
      </c>
      <c r="G37" s="1129"/>
      <c r="H37" s="1129"/>
    </row>
    <row r="38" spans="2:8" ht="28.95" customHeight="1">
      <c r="B38" s="845" t="s">
        <v>1154</v>
      </c>
      <c r="C38" s="518"/>
      <c r="D38" s="845" t="s">
        <v>1155</v>
      </c>
      <c r="F38" s="1119"/>
      <c r="G38" s="1130"/>
      <c r="H38" s="1130"/>
    </row>
    <row r="39" spans="2:8" ht="28.95" customHeight="1">
      <c r="B39" s="538"/>
      <c r="C39" s="518"/>
      <c r="D39" s="538"/>
      <c r="F39" s="1120"/>
      <c r="G39" s="1131"/>
      <c r="H39" s="1131"/>
    </row>
    <row r="40" spans="2:8" ht="28.95" customHeight="1">
      <c r="B40" s="538"/>
      <c r="C40" s="518"/>
      <c r="D40" s="538"/>
      <c r="F40" s="1118" t="s">
        <v>1146</v>
      </c>
      <c r="G40" s="1129"/>
      <c r="H40" s="1129"/>
    </row>
    <row r="41" spans="2:8" ht="28.95" customHeight="1">
      <c r="B41" s="845" t="s">
        <v>1154</v>
      </c>
      <c r="C41" s="518"/>
      <c r="D41" s="845" t="s">
        <v>1155</v>
      </c>
      <c r="F41" s="1119"/>
      <c r="G41" s="1130"/>
      <c r="H41" s="1130"/>
    </row>
    <row r="42" spans="2:8" ht="28.95" customHeight="1">
      <c r="B42" s="538"/>
      <c r="C42" s="518"/>
      <c r="D42" s="538"/>
      <c r="F42" s="1120"/>
      <c r="G42" s="1131"/>
      <c r="H42" s="1131"/>
    </row>
    <row r="43" spans="2:8" ht="28.95" customHeight="1">
      <c r="B43" s="538"/>
      <c r="C43" s="518"/>
      <c r="D43" s="538"/>
      <c r="F43" s="1118" t="s">
        <v>1147</v>
      </c>
      <c r="G43" s="1129"/>
      <c r="H43" s="1129"/>
    </row>
    <row r="44" spans="2:8" ht="28.95" customHeight="1">
      <c r="B44" s="845" t="s">
        <v>1154</v>
      </c>
      <c r="C44" s="518"/>
      <c r="D44" s="845" t="s">
        <v>1155</v>
      </c>
      <c r="F44" s="1119"/>
      <c r="G44" s="1130"/>
      <c r="H44" s="1130"/>
    </row>
    <row r="45" spans="2:8" ht="28.95" customHeight="1">
      <c r="B45" s="538"/>
      <c r="C45" s="518"/>
      <c r="D45" s="538"/>
      <c r="F45" s="1120"/>
      <c r="G45" s="1131"/>
      <c r="H45" s="1131"/>
    </row>
    <row r="46" spans="2:8" ht="28.95" customHeight="1">
      <c r="B46" s="538"/>
      <c r="C46" s="518"/>
      <c r="D46" s="538"/>
      <c r="F46" s="1118" t="s">
        <v>1148</v>
      </c>
      <c r="G46" s="1129"/>
      <c r="H46" s="1129"/>
    </row>
    <row r="47" spans="2:8" ht="28.95" customHeight="1">
      <c r="B47" s="845" t="s">
        <v>1154</v>
      </c>
      <c r="C47" s="518"/>
      <c r="D47" s="845" t="s">
        <v>1155</v>
      </c>
      <c r="F47" s="1119"/>
      <c r="G47" s="1130"/>
      <c r="H47" s="1130"/>
    </row>
    <row r="48" spans="2:8" ht="28.95" customHeight="1">
      <c r="B48" s="538"/>
      <c r="C48" s="518"/>
      <c r="D48" s="538"/>
      <c r="F48" s="1120"/>
      <c r="G48" s="1131"/>
      <c r="H48" s="1131"/>
    </row>
    <row r="49" spans="2:8" ht="28.95" customHeight="1">
      <c r="B49" s="538"/>
      <c r="C49" s="518"/>
      <c r="D49" s="538"/>
      <c r="F49" s="1118" t="s">
        <v>1125</v>
      </c>
      <c r="G49" s="1129"/>
      <c r="H49" s="1129"/>
    </row>
    <row r="50" spans="2:8" ht="28.95" customHeight="1">
      <c r="B50" s="845" t="s">
        <v>1154</v>
      </c>
      <c r="C50" s="518"/>
      <c r="D50" s="845" t="s">
        <v>1155</v>
      </c>
      <c r="F50" s="1119"/>
      <c r="G50" s="1130"/>
      <c r="H50" s="1130"/>
    </row>
    <row r="51" spans="2:8" ht="28.95" customHeight="1">
      <c r="B51" s="538"/>
      <c r="C51" s="518"/>
      <c r="D51" s="538"/>
      <c r="F51" s="1120"/>
      <c r="G51" s="1131"/>
      <c r="H51" s="1131"/>
    </row>
    <row r="52" spans="2:8" ht="28.95" customHeight="1">
      <c r="B52" s="538"/>
      <c r="C52" s="518"/>
      <c r="D52" s="538"/>
      <c r="F52" s="1118" t="s">
        <v>1149</v>
      </c>
      <c r="G52" s="1129"/>
      <c r="H52" s="1129"/>
    </row>
    <row r="53" spans="2:8" ht="28.95" customHeight="1">
      <c r="B53" s="845" t="s">
        <v>1154</v>
      </c>
      <c r="C53" s="518"/>
      <c r="D53" s="845" t="s">
        <v>1155</v>
      </c>
      <c r="F53" s="1119"/>
      <c r="G53" s="1130"/>
      <c r="H53" s="1130"/>
    </row>
    <row r="54" spans="2:8" ht="28.95" customHeight="1">
      <c r="B54" s="538"/>
      <c r="C54" s="518"/>
      <c r="D54" s="538"/>
      <c r="F54" s="1120"/>
      <c r="G54" s="1131"/>
      <c r="H54" s="1131"/>
    </row>
    <row r="55" spans="2:8" ht="28.95" customHeight="1">
      <c r="B55" s="538"/>
      <c r="C55" s="518"/>
      <c r="D55" s="538"/>
      <c r="F55" s="1118" t="s">
        <v>1150</v>
      </c>
      <c r="G55" s="1129"/>
      <c r="H55" s="1129"/>
    </row>
    <row r="56" spans="2:8" ht="28.95" customHeight="1">
      <c r="B56" s="845" t="s">
        <v>1154</v>
      </c>
      <c r="C56" s="518"/>
      <c r="D56" s="845" t="s">
        <v>1155</v>
      </c>
      <c r="F56" s="1119"/>
      <c r="G56" s="1130"/>
      <c r="H56" s="1130"/>
    </row>
    <row r="57" spans="2:8" ht="28.95" customHeight="1">
      <c r="B57" s="538"/>
      <c r="C57" s="518"/>
      <c r="D57" s="538"/>
      <c r="F57" s="1120"/>
      <c r="G57" s="1131"/>
      <c r="H57" s="1131"/>
    </row>
    <row r="58" spans="2:8" ht="28.95" customHeight="1">
      <c r="B58" s="538"/>
      <c r="C58" s="518"/>
      <c r="D58" s="538"/>
      <c r="F58" s="1118" t="s">
        <v>1151</v>
      </c>
      <c r="G58" s="1129"/>
      <c r="H58" s="1129"/>
    </row>
    <row r="59" spans="2:8" ht="28.95" customHeight="1">
      <c r="B59" s="845" t="s">
        <v>1154</v>
      </c>
      <c r="C59" s="518"/>
      <c r="D59" s="845" t="s">
        <v>1155</v>
      </c>
      <c r="F59" s="1119"/>
      <c r="G59" s="1130"/>
      <c r="H59" s="1130"/>
    </row>
    <row r="60" spans="2:8" ht="28.95" customHeight="1">
      <c r="B60" s="538"/>
      <c r="C60" s="518"/>
      <c r="D60" s="538"/>
      <c r="F60" s="1120"/>
      <c r="G60" s="1131"/>
      <c r="H60" s="1131"/>
    </row>
    <row r="61" spans="2:8" ht="28.95" customHeight="1">
      <c r="B61" s="538"/>
      <c r="C61" s="518"/>
      <c r="D61" s="538"/>
      <c r="F61" s="1118" t="s">
        <v>1152</v>
      </c>
      <c r="G61" s="1129"/>
      <c r="H61" s="1129"/>
    </row>
    <row r="62" spans="2:8" ht="28.95" customHeight="1">
      <c r="B62" s="845" t="s">
        <v>1154</v>
      </c>
      <c r="C62" s="518"/>
      <c r="D62" s="845" t="s">
        <v>1155</v>
      </c>
      <c r="F62" s="1119"/>
      <c r="G62" s="1130"/>
      <c r="H62" s="1130"/>
    </row>
    <row r="63" spans="2:8" ht="28.95" customHeight="1">
      <c r="B63" s="538"/>
      <c r="C63" s="518"/>
      <c r="D63" s="538"/>
      <c r="F63" s="1120"/>
      <c r="G63" s="1131"/>
      <c r="H63" s="1131"/>
    </row>
    <row r="64" spans="2:8" ht="28.95" customHeight="1">
      <c r="B64" s="538"/>
      <c r="C64" s="518"/>
      <c r="D64" s="538"/>
      <c r="F64" s="1118" t="s">
        <v>1153</v>
      </c>
      <c r="G64" s="1129"/>
      <c r="H64" s="1129"/>
    </row>
    <row r="65" spans="2:8" ht="28.95" customHeight="1">
      <c r="B65" s="845" t="s">
        <v>1154</v>
      </c>
      <c r="C65" s="518"/>
      <c r="D65" s="845" t="s">
        <v>1155</v>
      </c>
      <c r="F65" s="1119"/>
      <c r="G65" s="1130"/>
      <c r="H65" s="1130"/>
    </row>
    <row r="66" spans="2:8" ht="28.95"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95 MG/Yr</v>
      </c>
    </row>
    <row r="79" spans="1:6" ht="13.8">
      <c r="B79" s="52"/>
      <c r="C79" s="52"/>
      <c r="D79" s="52"/>
      <c r="E79" s="9" t="str">
        <f>IFERROR("Total Cost of NRW = $"&amp;TEXT(SUM(D90,D91,D94,D95,D96,D97,D99),"#,###")&amp;"/Yr","")</f>
        <v>Total Cost of NRW = $354,906/Yr</v>
      </c>
      <c r="F79" s="52"/>
    </row>
    <row r="80" spans="1:6">
      <c r="A80"/>
      <c r="B80"/>
      <c r="C80" s="53" t="str">
        <f>"Volume ("&amp;Worksheet!J15&amp;")"</f>
        <v>Volume (MG/Yr)</v>
      </c>
      <c r="D80" s="53" t="s">
        <v>147</v>
      </c>
      <c r="E80" s="94" t="s">
        <v>1085</v>
      </c>
      <c r="F80"/>
    </row>
    <row r="81" spans="1:6">
      <c r="A81" s="46" t="s">
        <v>127</v>
      </c>
      <c r="B81" s="46"/>
      <c r="C81" s="122">
        <f>IF(Dashboard!BO$2&gt;0,"",Worksheet!H15)</f>
        <v>217.01499999999999</v>
      </c>
      <c r="D81" s="123">
        <f>IF(Dashboard!BO$2&gt;0,"",C81*(Worksheet!$H$77))</f>
        <v>389830.55494999996</v>
      </c>
      <c r="E81" s="605">
        <f>D81</f>
        <v>389830.55494999996</v>
      </c>
      <c r="F81" s="84" t="s">
        <v>1084</v>
      </c>
    </row>
    <row r="82" spans="1:6">
      <c r="A82" s="46" t="str">
        <f>A81&amp;" MA"</f>
        <v>Vol. from own sources: MA</v>
      </c>
      <c r="B82" s="46"/>
      <c r="C82" s="122">
        <f>IF(Dashboard!BO$2&gt;0,"",Worksheet!X15)</f>
        <v>0.43402999999999997</v>
      </c>
      <c r="D82" s="123">
        <f>IF(Dashboard!BO$2&gt;0,"",C82*(Worksheet!$H$77))</f>
        <v>779.66110989999993</v>
      </c>
      <c r="E82" s="605">
        <f t="shared" ref="E82:E100" si="0">D82</f>
        <v>779.66110989999993</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217.44989979959919</v>
      </c>
      <c r="D87" s="123">
        <f>IF(Dashboard!BO$2&gt;0,"",C87*(Worksheet!$H$77))</f>
        <v>390611.77850701398</v>
      </c>
      <c r="E87" s="605">
        <f t="shared" si="0"/>
        <v>390611.77850701398</v>
      </c>
      <c r="F87"/>
    </row>
    <row r="88" spans="1:6">
      <c r="A88" s="158" t="s">
        <v>1269</v>
      </c>
      <c r="B88"/>
      <c r="C88" s="122">
        <f>IF(Dashboard!BO$2&gt;0,"",Worksheet!H23)</f>
        <v>122.37</v>
      </c>
      <c r="D88" s="123">
        <f>IF(Dashboard!BO$2&gt;0,"",C88*(Worksheet!$H$76*1000))</f>
        <v>1956696.3</v>
      </c>
      <c r="E88" s="605">
        <f t="shared" si="0"/>
        <v>1956696.3</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0.3</v>
      </c>
      <c r="D90" s="951">
        <f>IF(Dashboard!BO$2&gt;0,"",IF(ISBLANK('Start Page'!AB22),"",IF(AND(ISBLANK(Worksheet!H77),Worksheet!Z77&lt;&gt;1),"",Worksheet!H25*(IF(Dashboard!BD29=FALSE,Worksheet!H77,IF(Dashboard!BD29=TRUE,Worksheet!H76*INDEX(Sheet1!B2:D4,MATCH('Start Page'!AB22,Sheet1!A2:A4,0),MATCH(Worksheet!J76,Sheet1!B1:D1,0)),""))))))</f>
        <v>538.899</v>
      </c>
      <c r="E90" s="952">
        <f t="shared" si="0"/>
        <v>538.899</v>
      </c>
      <c r="F90"/>
    </row>
    <row r="91" spans="1:6">
      <c r="A91" s="953" t="str">
        <f>"Unbilled Unmetered (UUAC) valued at "&amp;A76&amp;""</f>
        <v xml:space="preserve">Unbilled Unmetered (UUAC) valued at </v>
      </c>
      <c r="B91" s="949"/>
      <c r="C91" s="950">
        <f>IF(Dashboard!BO$2&gt;0,"",Worksheet!H26)</f>
        <v>1.74</v>
      </c>
      <c r="D91" s="951">
        <f>IF(Dashboard!BO$2&gt;0,"",IF(ISBLANK('Start Page'!AB22),"",IF(AND(ISBLANK(Worksheet!H77),Worksheet!Z77&lt;&gt;1),"",Worksheet!H26*(IF(Dashboard!BD29=FALSE,Worksheet!H77,IF(Dashboard!BD29=TRUE,Worksheet!H76*INDEX(Sheet1!B2:D4,MATCH('Start Page'!AB22,Sheet1!A2:A4,0),MATCH(Worksheet!J76,Sheet1!B1:D1,0)),""))))))</f>
        <v>3125.6142</v>
      </c>
      <c r="E91" s="952">
        <f t="shared" si="0"/>
        <v>3125.6142</v>
      </c>
      <c r="F91"/>
    </row>
    <row r="92" spans="1:6">
      <c r="A92" s="158" t="s">
        <v>2</v>
      </c>
      <c r="B92" s="125" t="s">
        <v>239</v>
      </c>
      <c r="C92" s="122">
        <f>IF(Dashboard!BO$2&gt;0,"",Worksheet!H30)</f>
        <v>124.41</v>
      </c>
      <c r="D92" s="123">
        <f>IF(Dashboard!BO$2&gt;0,"",C92*(Worksheet!$H$76*1000))</f>
        <v>1989315.9</v>
      </c>
      <c r="E92" s="605">
        <f t="shared" si="0"/>
        <v>1989315.9</v>
      </c>
      <c r="F92"/>
    </row>
    <row r="93" spans="1:6">
      <c r="A93" t="s">
        <v>51</v>
      </c>
      <c r="B93"/>
      <c r="C93" s="122">
        <f>IF(Dashboard!BO$2&gt;0,"",Worksheet!H35)</f>
        <v>93.039899799599198</v>
      </c>
      <c r="D93" s="123"/>
      <c r="E93" s="605">
        <f t="shared" si="0"/>
        <v>0</v>
      </c>
      <c r="F93"/>
    </row>
    <row r="94" spans="1:6">
      <c r="A94" s="223" t="s">
        <v>678</v>
      </c>
      <c r="B94" s="46"/>
      <c r="C94" s="126">
        <f>IF(Dashboard!BO$2&gt;0,"",Worksheet!H43)</f>
        <v>10.196999999999999</v>
      </c>
      <c r="D94" s="127">
        <f>IF(Dashboard!BO$2&gt;0,"",IF(ISBLANK('Start Page'!AB22),"",IF(AND(ISBLANK(Worksheet!H77),Worksheet!Z77&lt;&gt;1),"",C94*Worksheet!H76*INDEX(Sheet1!B2:D4,MATCH('Start Page'!AB22,Sheet1!A2:A4,0),MATCH(Worksheet!J76,Sheet1!B1:D1,0)))))</f>
        <v>163050.03</v>
      </c>
      <c r="E94" s="606">
        <f t="shared" si="0"/>
        <v>163050.03</v>
      </c>
      <c r="F94" s="128"/>
    </row>
    <row r="95" spans="1:6">
      <c r="A95" s="935" t="s">
        <v>679</v>
      </c>
      <c r="B95" s="934"/>
      <c r="C95" s="936">
        <f>Worksheet!X50</f>
        <v>2.4973469387755074</v>
      </c>
      <c r="D95" s="937">
        <f>IF(Dashboard!BO$2&gt;0,"",IF(ISBLANK('Start Page'!AB22),"",IF(AND(ISBLANK(Worksheet!H77),Worksheet!Z77&lt;&gt;1),"",C95*Worksheet!H76*INDEX(Sheet1!B2:D4,MATCH('Start Page'!AB22,Sheet1!A2:A4,0),MATCH(Worksheet!J76,Sheet1!B1:D1,0)))))</f>
        <v>39932.577551020368</v>
      </c>
      <c r="E95" s="938">
        <f t="shared" si="0"/>
        <v>39932.577551020368</v>
      </c>
      <c r="F95" s="128"/>
    </row>
    <row r="96" spans="1:6">
      <c r="A96" s="935" t="s">
        <v>1271</v>
      </c>
      <c r="B96" s="934"/>
      <c r="C96" s="936">
        <f>Worksheet!Y50</f>
        <v>6.1224489795918546E-3</v>
      </c>
      <c r="D96" s="937">
        <f>C96*input_VPC</f>
        <v>10.997938775510235</v>
      </c>
      <c r="E96" s="938">
        <f t="shared" si="0"/>
        <v>10.997938775510235</v>
      </c>
      <c r="F96" s="941" t="s">
        <v>1273</v>
      </c>
    </row>
    <row r="97" spans="1:7">
      <c r="A97" s="223" t="s">
        <v>680</v>
      </c>
      <c r="B97" s="46"/>
      <c r="C97" s="126">
        <f>IF(Dashboard!BO$2&gt;0,"",Worksheet!H39)</f>
        <v>0.27700000000000002</v>
      </c>
      <c r="D97" s="127">
        <f>IF(Dashboard!BO$2&gt;0,"",IF(ISBLANK('Start Page'!AB22),"",IF(AND(ISBLANK(Worksheet!H77),Worksheet!Z77&lt;&gt;1),"",C97*Worksheet!H76*INDEX(Sheet1!B2:D4,MATCH('Start Page'!AB22,Sheet1!A2:A4,0),MATCH(Worksheet!J76,Sheet1!B1:D1,0)))))</f>
        <v>4429.2300000000005</v>
      </c>
      <c r="E97" s="606">
        <f t="shared" si="0"/>
        <v>4429.2300000000005</v>
      </c>
      <c r="F97" s="128"/>
    </row>
    <row r="98" spans="1:7">
      <c r="A98" s="945" t="s">
        <v>42</v>
      </c>
      <c r="B98" s="945"/>
      <c r="C98" s="946">
        <f>IF(Dashboard!BO$2&gt;0,"",Worksheet!H46)</f>
        <v>12.977469387755104</v>
      </c>
      <c r="D98" s="947">
        <f>IF(Dashboard!BO$2&gt;0,"",SUM(D94:D97))</f>
        <v>207422.83548979589</v>
      </c>
      <c r="E98" s="605">
        <f t="shared" si="0"/>
        <v>207422.83548979589</v>
      </c>
      <c r="F98"/>
    </row>
    <row r="99" spans="1:7">
      <c r="A99" s="54" t="str">
        <f>"Real Losses valued at "&amp;A76&amp;""</f>
        <v xml:space="preserve">Real Losses valued at </v>
      </c>
      <c r="B99" s="46"/>
      <c r="C99" s="126">
        <f>IF(Dashboard!BO$2&gt;0,"",Worksheet!H51)</f>
        <v>80.06243041184409</v>
      </c>
      <c r="D99" s="939">
        <f>IF(Dashboard!BO$2&gt;0,"",Dashboard!N50)</f>
        <v>143818.54562170789</v>
      </c>
      <c r="E99" s="606">
        <f t="shared" si="0"/>
        <v>143818.54562170789</v>
      </c>
      <c r="F99" s="605"/>
    </row>
    <row r="100" spans="1:7">
      <c r="A100" t="s">
        <v>72</v>
      </c>
      <c r="B100"/>
      <c r="C100" s="122">
        <f>IF(Dashboard!BO$2&gt;0,"",Worksheet!H57)</f>
        <v>95.07989979959919</v>
      </c>
      <c r="D100" s="124">
        <f>IF(Dashboard!BO$2&gt;0,"",D98+D99+D90+D91)</f>
        <v>354905.8943115038</v>
      </c>
      <c r="E100" s="605">
        <f t="shared" si="0"/>
        <v>354905.8943115038</v>
      </c>
      <c r="F100"/>
      <c r="G100" s="129"/>
    </row>
    <row r="101" spans="1:7">
      <c r="A101" s="942"/>
    </row>
    <row r="102" spans="1:7">
      <c r="A102" s="942" t="s">
        <v>1272</v>
      </c>
      <c r="C102" s="943">
        <f>C95+C96</f>
        <v>2.5034693877550991</v>
      </c>
      <c r="D102" s="129">
        <f>D95+D96</f>
        <v>39943.575489795876</v>
      </c>
      <c r="E102" s="129">
        <f>E95+E96</f>
        <v>39943.575489795876</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- 540 Susquehanna</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122.37</v>
      </c>
      <c r="H12" s="362"/>
      <c r="I12" s="5"/>
      <c r="K12" s="898"/>
    </row>
    <row r="13" spans="2:16" ht="22.5" customHeight="1">
      <c r="B13" s="1133"/>
      <c r="C13" s="363"/>
      <c r="D13" s="360"/>
      <c r="E13" s="1142"/>
      <c r="F13" s="365">
        <f>Worksheet!H23+Worksheet!H24</f>
        <v>122.37</v>
      </c>
      <c r="G13" s="366" t="s">
        <v>1090</v>
      </c>
      <c r="H13" s="367">
        <f>SUM(G12+G14)</f>
        <v>122.37</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124.41</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0.3</v>
      </c>
      <c r="H16" s="1141"/>
      <c r="I16" s="5"/>
      <c r="K16" s="46"/>
    </row>
    <row r="17" spans="2:16" ht="22.5" customHeight="1">
      <c r="B17" s="377">
        <f>Worksheet!AG15</f>
        <v>217.44989979959919</v>
      </c>
      <c r="C17" s="378"/>
      <c r="D17" s="379"/>
      <c r="E17" s="250"/>
      <c r="F17" s="380">
        <f>Worksheet!H25+Worksheet!H26</f>
        <v>2.04</v>
      </c>
      <c r="G17" s="364" t="s">
        <v>1092</v>
      </c>
      <c r="H17" s="362"/>
      <c r="I17" s="5"/>
      <c r="K17" s="46"/>
      <c r="L17" s="121"/>
      <c r="M17" s="121"/>
      <c r="N17" s="121"/>
      <c r="O17" s="121"/>
      <c r="P17" s="121"/>
    </row>
    <row r="18" spans="2:16" ht="15.75" customHeight="1">
      <c r="B18" s="375"/>
      <c r="C18" s="1154" t="s">
        <v>763</v>
      </c>
      <c r="D18" s="360"/>
      <c r="E18" s="381"/>
      <c r="F18" s="370"/>
      <c r="G18" s="382">
        <f>Worksheet!H26</f>
        <v>1.74</v>
      </c>
      <c r="H18" s="362"/>
      <c r="I18" s="5"/>
      <c r="K18" s="46"/>
    </row>
    <row r="19" spans="2:16" ht="22.5" customHeight="1">
      <c r="B19" s="375"/>
      <c r="C19" s="1154"/>
      <c r="D19" s="383" t="s">
        <v>116</v>
      </c>
      <c r="E19" s="356"/>
      <c r="F19" s="384"/>
      <c r="G19" s="600" t="s">
        <v>695</v>
      </c>
      <c r="H19" s="385">
        <f>Worksheet!H25+Worksheet!H26+Worksheet!H46+Worksheet!H51</f>
        <v>95.07989979959919</v>
      </c>
      <c r="I19" s="5"/>
      <c r="K19" s="46"/>
      <c r="L19" s="121"/>
      <c r="M19" s="121"/>
      <c r="N19" s="121"/>
      <c r="O19" s="121"/>
      <c r="P19" s="121"/>
    </row>
    <row r="20" spans="2:16" ht="15.75" customHeight="1">
      <c r="B20" s="375"/>
      <c r="C20" s="386">
        <f>B17+B27</f>
        <v>217.44989979959919</v>
      </c>
      <c r="D20" s="360"/>
      <c r="E20" s="250"/>
      <c r="F20" s="387" t="s">
        <v>52</v>
      </c>
      <c r="G20" s="376">
        <f>Worksheet!H39</f>
        <v>0.27700000000000002</v>
      </c>
      <c r="H20" s="362"/>
      <c r="I20" s="5"/>
      <c r="K20" s="46"/>
    </row>
    <row r="21" spans="2:16" ht="14.25" customHeight="1">
      <c r="B21" s="388"/>
      <c r="C21" s="389"/>
      <c r="D21" s="386">
        <f>Worksheet!H19</f>
        <v>217.44989979959919</v>
      </c>
      <c r="E21" s="390"/>
      <c r="F21" s="380">
        <f>Worksheet!H46</f>
        <v>12.977469387755104</v>
      </c>
      <c r="G21" s="364" t="s">
        <v>694</v>
      </c>
      <c r="H21" s="362"/>
      <c r="I21" s="5"/>
      <c r="K21" s="46"/>
      <c r="L21" s="121"/>
      <c r="M21" s="121"/>
      <c r="N21" s="121"/>
      <c r="O21" s="121"/>
      <c r="P21" s="121"/>
    </row>
    <row r="22" spans="2:16" ht="15.75" customHeight="1">
      <c r="B22" s="375"/>
      <c r="C22" s="359"/>
      <c r="D22" s="360"/>
      <c r="E22" s="250"/>
      <c r="F22" s="390"/>
      <c r="G22" s="391">
        <f>Worksheet!H41</f>
        <v>2.5034693877551035</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10.196999999999999</v>
      </c>
      <c r="H24" s="362"/>
      <c r="I24" s="5"/>
      <c r="K24" s="46"/>
    </row>
    <row r="25" spans="2:16" ht="26.25" customHeight="1">
      <c r="B25" s="1132" t="s">
        <v>1087</v>
      </c>
      <c r="C25" s="363"/>
      <c r="D25" s="360"/>
      <c r="E25" s="393">
        <f>Worksheet!H53</f>
        <v>93.039899799599198</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80.06243041184409</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- 540 Susquehanna</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V (91-100)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5"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25.4">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55">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34.930139720558884</v>
      </c>
      <c r="AF98" s="40">
        <f t="shared" ref="AF98:AF103" si="0">AE98</f>
        <v>34.930139720558884</v>
      </c>
      <c r="AG98" s="40">
        <f>IF(AE98&lt;&gt;0,AF98/10,0)</f>
        <v>3.4930139720558886</v>
      </c>
      <c r="AH98" s="40">
        <f>IFERROR(AD98*AG98,0)</f>
        <v>34.930139720558884</v>
      </c>
      <c r="AI98" s="40">
        <f t="shared" ref="AI98:AI117" si="1">IF(AG98=0,0,AF98-AH98)</f>
        <v>0</v>
      </c>
      <c r="AJ98">
        <f t="array" aca="1" ref="AJ98" ca="1">SUM(1*(AI98&lt;$AI$98:$AI$117))+1+IF(ROW(AI98)-ROW($AI$98)=0,0,SUM(1*(AI98=OFFSET($AI$98,0,0,INDEX(ROW(AI98)-ROW($AI$98)+1,1)-1,1))))</f>
        <v>6</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6.9860279441117765E-2</v>
      </c>
      <c r="AF99" s="40">
        <f t="shared" si="0"/>
        <v>6.9860279441117765E-2</v>
      </c>
      <c r="AG99" s="40">
        <f t="shared" ref="AG99:AG117" si="3">IF(AE99&lt;&gt;0,AF99/10,0)</f>
        <v>6.9860279441117763E-3</v>
      </c>
      <c r="AH99" s="40">
        <f t="shared" ref="AH99:AH106" si="4">IFERROR(AD99*AG99,0)</f>
        <v>6.9860279441117765E-2</v>
      </c>
      <c r="AI99" s="40">
        <f t="shared" si="1"/>
        <v>0</v>
      </c>
      <c r="AJ99">
        <f t="array" aca="1" ref="AJ99" ca="1">SUM(1*(AI99&lt;$AI$98:$AI$117))+1+IF(ROW(AI99)-ROW($AI$98)=0,0,SUM(1*(AI99=OFFSET($AI$98,0,0,INDEX(ROW(AI99)-ROW($AI$98)+1,1)-1,1))))</f>
        <v>7</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8</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9</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10</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11</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13.965761799951089</v>
      </c>
      <c r="AF104" s="75">
        <f t="shared" ref="AF104:AF117" si="8">AE104/$AE$120</f>
        <v>17.127821075411713</v>
      </c>
      <c r="AG104" s="75">
        <f t="shared" si="3"/>
        <v>1.7127821075411713</v>
      </c>
      <c r="AH104" s="75">
        <f t="shared" ref="AH104:AH117" si="9">AD104*AG104</f>
        <v>15.415038967870542</v>
      </c>
      <c r="AI104" s="75">
        <f t="shared" si="1"/>
        <v>1.7127821075411713</v>
      </c>
      <c r="AJ104" s="76">
        <f t="array" aca="1" ref="AJ104" ca="1">SUM(1*(AI104&lt;$AI$98:$AI$117))+1+IF(ROW(AI104)-ROW($AI$98)=0,0,SUM(1*(AI104=OFFSET($AI$98,0,0,INDEX(ROW(AI104)-ROW($AI$98)+1,1)-1,1))))</f>
        <v>2</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12</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3.4238200048911711E-2</v>
      </c>
      <c r="AF106" s="79">
        <f t="shared" si="8"/>
        <v>4.1990245343004932E-2</v>
      </c>
      <c r="AG106" s="79">
        <f t="shared" si="3"/>
        <v>4.1990245343004936E-3</v>
      </c>
      <c r="AH106" s="40">
        <f t="shared" si="4"/>
        <v>4.1990245343004939E-2</v>
      </c>
      <c r="AI106" s="79">
        <f t="shared" si="1"/>
        <v>-6.9388939039072284E-18</v>
      </c>
      <c r="AJ106" s="80">
        <f t="array" aca="1" ref="AJ106" ca="1">SUM(1*(AI106&lt;$AI$98:$AI$117))+1+IF(ROW(AI106)-ROW($AI$98)=0,0,SUM(1*(AI106=OFFSET($AI$98,0,0,INDEX(ROW(AI106)-ROW($AI$98)+1,1)-1,1))))</f>
        <v>20</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8</v>
      </c>
      <c r="AE107" s="70">
        <v>2</v>
      </c>
      <c r="AF107" s="71">
        <f t="shared" si="8"/>
        <v>2.4528301886792452</v>
      </c>
      <c r="AG107" s="71">
        <f t="shared" si="3"/>
        <v>0.24528301886792453</v>
      </c>
      <c r="AH107" s="71">
        <f t="shared" si="9"/>
        <v>1.9622641509433962</v>
      </c>
      <c r="AI107" s="71">
        <f t="shared" si="1"/>
        <v>0.49056603773584895</v>
      </c>
      <c r="AJ107" s="72">
        <f t="array" aca="1" ref="AJ107" ca="1">SUM(1*(AI107&lt;$AI$98:$AI$117))+1+IF(ROW(AI107)-ROW($AI$98)=0,0,SUM(1*(AI107=OFFSET($AI$98,0,0,INDEX(ROW(AI107)-ROW($AI$98)+1,1)-1,1))))</f>
        <v>4</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3</v>
      </c>
      <c r="AK108" s="88" t="str">
        <f t="shared" si="5"/>
        <v>Unauthorized Consumption (UC)</v>
      </c>
      <c r="AL108" s="72">
        <f t="shared" si="10"/>
        <v>1</v>
      </c>
      <c r="AM108" s="72">
        <f t="shared" si="7"/>
        <v>1</v>
      </c>
      <c r="AN108" s="72">
        <f t="shared" si="2"/>
        <v>0</v>
      </c>
    </row>
    <row r="109" spans="28:40">
      <c r="AC109" s="217" t="s">
        <v>694</v>
      </c>
      <c r="AD109" s="73">
        <f>IF(Worksheet!F41="n/a",0,Worksheet!F41)</f>
        <v>4</v>
      </c>
      <c r="AE109" s="74">
        <f>IF(AND(Worksheet!F41="n/a",Worksheet!H41=0),0,6)</f>
        <v>6</v>
      </c>
      <c r="AF109" s="75">
        <f t="shared" si="8"/>
        <v>7.3584905660377355</v>
      </c>
      <c r="AG109" s="75">
        <f t="shared" si="3"/>
        <v>0.73584905660377353</v>
      </c>
      <c r="AH109" s="75">
        <f t="shared" si="9"/>
        <v>2.9433962264150941</v>
      </c>
      <c r="AI109" s="75">
        <f t="shared" si="1"/>
        <v>4.415094339622641</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10</v>
      </c>
      <c r="AE110" s="70">
        <v>3.5</v>
      </c>
      <c r="AF110" s="71">
        <f t="shared" si="8"/>
        <v>4.2924528301886795</v>
      </c>
      <c r="AG110" s="71">
        <f t="shared" si="3"/>
        <v>0.42924528301886794</v>
      </c>
      <c r="AH110" s="71">
        <f t="shared" si="9"/>
        <v>4.2924528301886795</v>
      </c>
      <c r="AI110" s="71">
        <f t="shared" si="1"/>
        <v>0</v>
      </c>
      <c r="AJ110" s="72">
        <f t="array" aca="1" ref="AJ110" ca="1">SUM(1*(AI110&lt;$AI$98:$AI$117))+1+IF(ROW(AI110)-ROW($AI$98)=0,0,SUM(1*(AI110=OFFSET($AI$98,0,0,INDEX(ROW(AI110)-ROW($AI$98)+1,1)-1,1))))</f>
        <v>13</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5</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18</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19</v>
      </c>
      <c r="AK117" s="88" t="str">
        <f t="shared" si="5"/>
        <v>Variable Production Cost (VPC)</v>
      </c>
      <c r="AL117" s="72">
        <f t="shared" si="10"/>
        <v>1</v>
      </c>
      <c r="AM117" s="72">
        <f t="shared" si="7"/>
        <v>1</v>
      </c>
      <c r="AN117" s="72">
        <f t="shared" si="2"/>
        <v>0</v>
      </c>
    </row>
    <row r="118" spans="29:40">
      <c r="AE118" s="81">
        <f>SUM(AE98:AE117)</f>
        <v>88</v>
      </c>
      <c r="AF118" s="39">
        <f>SUM(AF98:AF117)</f>
        <v>100.00000000000001</v>
      </c>
      <c r="AG118" s="39">
        <f>SUM(AG98:AG117)</f>
        <v>9.9999999999999982</v>
      </c>
      <c r="AH118" s="93">
        <f>SUM(AH98:AH117)</f>
        <v>92.032500911326764</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79.2">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9.6">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16" t="s">
        <v>32</v>
      </c>
      <c r="D44" s="1218" t="s">
        <v>1219</v>
      </c>
      <c r="E44" s="1219"/>
      <c r="F44" s="1219"/>
      <c r="G44" s="1219"/>
      <c r="H44" s="1219"/>
      <c r="I44" s="1219"/>
      <c r="J44" s="1219"/>
      <c r="K44" s="1219"/>
      <c r="L44" s="1220"/>
      <c r="M44" s="419"/>
      <c r="N44" s="115"/>
    </row>
    <row r="45" spans="1:14" ht="13.8"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07" t="s">
        <v>1229</v>
      </c>
      <c r="E67" s="1208"/>
      <c r="F67" s="1208"/>
      <c r="G67" s="1208"/>
      <c r="H67" s="1208"/>
      <c r="I67" s="1208"/>
      <c r="J67" s="1208"/>
      <c r="K67" s="1208"/>
      <c r="L67" s="1209"/>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07" t="s">
        <v>1228</v>
      </c>
      <c r="E71" s="1208"/>
      <c r="F71" s="1208"/>
      <c r="G71" s="1208"/>
      <c r="H71" s="1208"/>
      <c r="I71" s="1208"/>
      <c r="J71" s="1208"/>
      <c r="K71" s="1208"/>
      <c r="L71" s="1209"/>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39999999999998"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50000000000003"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5"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79.2">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9.6">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ht="26.4">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68DDCB62-76A1-4594-B567-7D675E2921C2}"/>
</file>

<file path=customXml/itemProps3.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2026-03-04T17:40:55Z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