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41" documentId="8_{E36B5659-2A0B-46B6-9D7E-DD5173800A8A}" xr6:coauthVersionLast="47" xr6:coauthVersionMax="47" xr10:uidLastSave="{7DF3AFF4-EA68-4E05-A8BD-1DE6EC261F34}"/>
  <workbookProtection workbookPassword="FDB7" lockStructure="1"/>
  <bookViews>
    <workbookView xWindow="28680" yWindow="-120" windowWidth="29040" windowHeight="1572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<sst xmlns="http://schemas.openxmlformats.org/spreadsheetml/2006/main" count="2547" uniqueCount="1283">
  <si>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</si>
  <si>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</si>
  <si>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</si>
  <si>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</si>
  <si>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</si>
  <si>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</si>
  <si>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</si>
  <si>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</si>
  <si>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</si>
  <si>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</si>
  <si>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</si>
  <si>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</si>
  <si>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</si>
  <si>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</si>
  <si>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</si>
  <si>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</si>
  <si>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</si>
  <si>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</si>
  <si>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</si>
  <si>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</si>
  <si>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</si>
  <si>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</si>
  <si>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</si>
  <si>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</si>
  <si>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</si>
  <si>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</si>
  <si>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</si>
  <si>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</si>
  <si>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</si>
  <si>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</si>
  <si>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</si>
  <si>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</si>
  <si>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</si>
  <si>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</si>
  <si>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</si>
  <si>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</si>
  <si>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</si>
  <si>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</si>
  <si>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</si>
  <si>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</si>
  <si>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</si>
  <si>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</si>
  <si>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</si>
  <si>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</si>
  <si>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</si>
  <si>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</si>
  <si>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</si>
  <si>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</si>
  <si>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</si>
  <si>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</si>
  <si>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</si>
  <si>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</si>
  <si>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</si>
  <si>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</si>
  <si>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</si>
  <si>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</si>
  <si>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</si>
  <si>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</si>
  <si>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</si>
  <si>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</si>
  <si>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</si>
  <si>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</si>
  <si>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</si>
  <si>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</si>
  <si>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</si>
  <si>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</si>
  <si>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</si>
  <si>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</si>
  <si>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</si>
  <si>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</si>
  <si>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</si>
  <si>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</si>
  <si>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</si>
  <si>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</si>
  <si>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</si>
  <si>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</si>
  <si>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</si>
  <si>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</si>
  <si>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</si>
  <si>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</si>
  <si>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</si>
  <si>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</si>
  <si>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</si>
  <si>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</si>
  <si>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</si>
  <si>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</si>
  <si>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</si>
  <si>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</si>
  <si>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</si>
  <si>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</si>
  <si>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</si>
  <si>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</si>
  <si>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</si>
  <si>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</si>
  <si>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</si>
  <si>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</si>
  <si>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</si>
  <si>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</si>
  <si>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</si>
  <si>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</si>
  <si>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</si>
  <si>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</si>
  <si>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</si>
  <si>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</si>
  <si>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</si>
  <si>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</si>
  <si>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</si>
  <si>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</si>
  <si>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</si>
  <si>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</si>
  <si>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</si>
  <si>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</si>
  <si>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</si>
  <si>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</si>
  <si>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</si>
  <si>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</si>
  <si>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</si>
  <si>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</si>
  <si>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</si>
  <si>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</si>
  <si>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</si>
  <si>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</si>
  <si>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</si>
  <si>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</si>
  <si>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</si>
  <si>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</si>
  <si>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</si>
  <si>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</si>
  <si>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</si>
  <si>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</si>
  <si>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</si>
  <si>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</si>
  <si>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</si>
  <si>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</si>
  <si>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</si>
  <si>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</si>
  <si>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</si>
  <si>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</si>
  <si>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</si>
  <si>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</si>
  <si>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</si>
  <si>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</si>
  <si>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</si>
  <si>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</si>
  <si>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</si>
  <si>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</si>
  <si>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</si>
  <si>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</si>
  <si>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</si>
  <si>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</si>
  <si>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</si>
  <si>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</si>
  <si>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</si>
  <si>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</si>
  <si>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</si>
  <si>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</si>
  <si>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</si>
  <si>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</si>
  <si>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</si>
  <si>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</si>
  <si>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</si>
  <si>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</si>
  <si>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</si>
  <si>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</si>
  <si>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</si>
  <si>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</si>
  <si>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</si>
  <si>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</si>
  <si>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</si>
  <si>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</si>
  <si>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</si>
  <si>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</si>
  <si>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</si>
  <si>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</si>
  <si>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</si>
  <si>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</si>
  <si>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</si>
  <si>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</si>
  <si>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</si>
  <si>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</si>
  <si>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</si>
  <si>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</si>
  <si>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</si>
  <si>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</si>
  <si>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</si>
  <si>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</si>
  <si>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</si>
  <si>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</si>
  <si>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</si>
  <si>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</si>
  <si>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</si>
  <si>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</si>
  <si>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</si>
  <si>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</si>
  <si>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</si>
  <si>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</si>
  <si>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</si>
  <si>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</si>
  <si>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</si>
  <si>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</si>
  <si>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</si>
  <si>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</si>
  <si>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</si>
  <si>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</si>
  <si>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</si>
  <si>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</si>
  <si>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</si>
  <si>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</si>
  <si>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</si>
  <si>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</si>
  <si>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</si>
  <si>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</si>
  <si>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</si>
  <si>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</si>
  <si>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</si>
  <si>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</si>
  <si>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</si>
  <si>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</si>
  <si>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</si>
  <si>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</si>
  <si>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</si>
  <si>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</si>
  <si>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</si>
  <si>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</si>
  <si>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</si>
  <si>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</si>
  <si>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</si>
  <si>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</si>
  <si>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</si>
  <si>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</si>
  <si>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</si>
  <si>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</si>
  <si>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</si>
  <si>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</si>
  <si>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</si>
  <si>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</si>
  <si>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</si>
  <si>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</si>
  <si>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</si>
  <si>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</si>
  <si>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</si>
  <si>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</si>
  <si>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</si>
  <si>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</si>
  <si>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</si>
  <si>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</si>
  <si>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</si>
  <si>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</si>
  <si>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</si>
  <si>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</si>
  <si>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</si>
  <si>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</si>
  <si>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</si>
  <si>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</si>
  <si>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</si>
  <si>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</si>
  <si>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</si>
  <si>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</si>
  <si>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</si>
  <si>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</si>
  <si>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</si>
  <si>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</si>
  <si>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</si>
  <si>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</si>
  <si>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</si>
  <si>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</si>
  <si>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</si>
  <si>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</si>
  <si>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</si>
  <si>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</si>
  <si>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</si>
  <si>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</si>
  <si>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</si>
  <si>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</si>
  <si>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</si>
  <si>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</si>
  <si>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</si>
  <si>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</si>
  <si>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</si>
  <si>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</si>
  <si>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</si>
  <si>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</si>
  <si>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</si>
  <si>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</si>
  <si>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</si>
  <si>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</si>
  <si>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</si>
  <si>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</si>
  <si>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</si>
  <si>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</si>
  <si>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</si>
  <si>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</si>
  <si>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</si>
  <si>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</si>
  <si>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</si>
  <si>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</si>
  <si>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</si>
  <si>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</si>
  <si>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</si>
  <si>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</si>
  <si>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</si>
  <si>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</si>
  <si>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</si>
  <si>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</si>
  <si>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</si>
  <si>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</si>
  <si>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</si>
  <si>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</si>
  <si>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</si>
  <si>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</si>
  <si>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</si>
  <si>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</si>
  <si>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</si>
  <si>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</si>
  <si>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</si>
  <si>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</si>
  <si>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</si>
  <si>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</si>
  <si>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</si>
  <si>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</si>
  <si>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</si>
  <si>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</si>
  <si>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</si>
  <si>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</si>
  <si>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</si>
  <si>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</si>
  <si>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</si>
  <si>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</si>
  <si>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</si>
  <si>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</si>
  <si>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</si>
  <si>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</si>
  <si>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</si>
  <si>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</si>
  <si>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</si>
  <si>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</si>
  <si>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</si>
  <si>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</si>
  <si>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</si>
  <si>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</si>
  <si>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</si>
  <si>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</si>
  <si>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</si>
  <si>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</si>
  <si>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</si>
  <si>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</si>
  <si>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</si>
  <si>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</si>
  <si>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</si>
  <si>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</si>
  <si>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</si>
  <si>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</si>
  <si>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</si>
  <si>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</si>
  <si>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</si>
  <si>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</si>
  <si>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</si>
  <si>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</si>
  <si>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</si>
  <si>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</si>
  <si>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</si>
  <si>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</si>
  <si>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</si>
  <si>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</si>
  <si>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</si>
  <si>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</si>
  <si>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</si>
  <si>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</si>
  <si>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</si>
  <si>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</si>
  <si>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</si>
  <si>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</si>
  <si>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</si>
  <si>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</si>
  <si>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</si>
  <si>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</si>
  <si>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</si>
  <si>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</si>
  <si>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</si>
  <si>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</si>
  <si>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</si>
  <si>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</si>
  <si>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</si>
  <si>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</si>
  <si>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</si>
  <si>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</si>
  <si>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</si>
  <si>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</si>
  <si>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</si>
  <si>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</si>
  <si>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</si>
  <si>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</si>
  <si>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</si>
  <si>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</si>
  <si>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</si>
  <si>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</si>
  <si>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</si>
  <si>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</si>
  <si>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</si>
  <si>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</si>
  <si>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</si>
  <si>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</si>
  <si>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</si>
  <si>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</si>
  <si>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</si>
  <si>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</si>
  <si>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</si>
  <si>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</si>
  <si>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</si>
  <si>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</si>
  <si>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</si>
  <si>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</si>
  <si>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</si>
  <si>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</si>
  <si>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</si>
  <si>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</si>
  <si>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</si>
  <si>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</si>
  <si>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</si>
  <si>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</si>
  <si>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</si>
  <si>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</si>
  <si>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</si>
  <si>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</si>
  <si>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</si>
  <si>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</si>
  <si>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</si>
  <si>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</si>
  <si>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</si>
  <si>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</si>
  <si>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</si>
  <si>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</si>
  <si>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</si>
  <si>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</si>
  <si>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</si>
  <si>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</si>
  <si>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</si>
  <si>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</si>
  <si>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</si>
  <si>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</si>
  <si>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</si>
  <si>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</si>
  <si>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</si>
  <si>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</si>
  <si>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</si>
  <si>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</si>
  <si>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</si>
  <si>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</si>
  <si>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</si>
  <si>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</si>
  <si>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</si>
  <si>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</si>
  <si>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</si>
  <si>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</si>
  <si>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</si>
  <si>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</si>
  <si>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</si>
  <si>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</si>
  <si>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</si>
  <si>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</si>
  <si>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</si>
  <si>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</si>
  <si>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</si>
  <si>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</si>
  <si>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</si>
  <si>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</si>
  <si>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</si>
  <si>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</si>
  <si>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</si>
  <si>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</si>
  <si>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</si>
  <si>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</si>
  <si>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</si>
  <si>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</si>
  <si>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</si>
  <si>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</si>
  <si>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</si>
  <si>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</si>
  <si>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</si>
  <si>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</si>
  <si>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</si>
  <si>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</si>
  <si>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</si>
  <si>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</si>
  <si>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</si>
  <si>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</si>
  <si>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</si>
  <si>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</si>
  <si>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</si>
  <si>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</si>
  <si>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</si>
  <si>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</si>
  <si>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</si>
  <si>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</si>
  <si>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</si>
  <si>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</si>
  <si>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</si>
  <si>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</si>
  <si>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</si>
  <si>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</si>
  <si>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</si>
  <si>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</si>
  <si>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</si>
  <si>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</si>
  <si>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</si>
  <si>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</si>
  <si>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</si>
  <si>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</si>
  <si>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</si>
  <si>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</si>
  <si>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</si>
  <si>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</si>
  <si>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</si>
  <si>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</si>
  <si>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</si>
  <si>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</si>
  <si>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</si>
  <si>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</si>
  <si>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</si>
  <si>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</si>
  <si>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</si>
  <si>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</si>
  <si>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</si>
  <si>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</si>
  <si>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</si>
  <si>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</si>
  <si>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</si>
  <si>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</si>
  <si>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</si>
  <si>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</si>
  <si>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</si>
  <si>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</si>
  <si>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</si>
  <si>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</si>
  <si>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</si>
  <si>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</si>
  <si>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</si>
  <si>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</si>
  <si>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</si>
  <si>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</si>
  <si>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</si>
  <si>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</si>
  <si>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</si>
  <si>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</si>
  <si>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</si>
  <si>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</si>
  <si>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</si>
  <si>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</si>
  <si>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</si>
  <si>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</si>
  <si>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</si>
  <si>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</si>
  <si>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</si>
  <si>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</si>
  <si>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</si>
  <si>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</si>
  <si>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</si>
  <si>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</si>
  <si>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</si>
  <si>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</si>
  <si>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</si>
  <si>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</si>
  <si>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</si>
  <si>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</si>
  <si>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</si>
  <si>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</si>
  <si>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</si>
  <si>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</si>
  <si>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</si>
  <si>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</si>
  <si>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</si>
  <si>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</si>
  <si>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</si>
  <si>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</si>
  <si>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</si>
  <si>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</si>
  <si>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</si>
  <si>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</si>
  <si>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</si>
  <si>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</si>
  <si>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</si>
  <si>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</si>
  <si>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</si>
  <si>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</si>
  <si>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</si>
  <si>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</si>
  <si>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</si>
  <si>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</si>
  <si>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</si>
  <si>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</si>
  <si>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</si>
  <si>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</si>
  <si>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</si>
  <si>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</si>
  <si>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</si>
  <si>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</si>
  <si>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</si>
  <si>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</si>
  <si>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</si>
  <si>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</si>
  <si>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</si>
  <si>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</si>
  <si>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</si>
  <si>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</si>
  <si>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</si>
  <si>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</si>
  <si>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</si>
  <si>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</si>
  <si>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</si>
  <si>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</si>
  <si>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</si>
  <si>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</si>
  <si>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</si>
  <si>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</si>
  <si>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</si>
  <si>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</si>
  <si>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</si>
  <si>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</si>
  <si>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</si>
  <si>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</si>
  <si>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</si>
  <si>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</si>
  <si>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</si>
  <si>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</si>
  <si>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</si>
  <si>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</si>
  <si>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</si>
  <si>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</si>
  <si>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</si>
  <si>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</si>
  <si>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</si>
  <si>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</si>
  <si>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</si>
  <si>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</si>
  <si>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</si>
  <si>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</si>
  <si>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</si>
  <si>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</si>
  <si>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</si>
  <si>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</si>
  <si>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</si>
  <si>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</si>
  <si>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</si>
  <si>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</si>
  <si>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</si>
  <si>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</si>
  <si>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</si>
  <si>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</si>
  <si>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</si>
  <si>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</si>
  <si>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</si>
  <si>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</si>
  <si>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</si>
  <si>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</si>
  <si>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</si>
  <si>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</si>
  <si>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</si>
  <si>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</si>
  <si>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</si>
  <si>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</si>
  <si>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</si>
  <si>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</si>
  <si>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</si>
  <si>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</si>
  <si>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</si>
  <si>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</si>
  <si>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</si>
  <si>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</si>
  <si>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</si>
  <si>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</si>
  <si>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</si>
  <si>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</si>
  <si>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</si>
  <si>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</si>
  <si>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</si>
  <si>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</si>
  <si>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</si>
  <si>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</si>
  <si>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</si>
  <si>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</si>
  <si>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</si>
  <si>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</si>
  <si>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</si>
  <si>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</si>
  <si>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</si>
  <si>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</si>
  <si>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</si>
  <si>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</si>
  <si>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</si>
  <si>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</si>
  <si>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</si>
  <si>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</si>
  <si>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</si>
  <si>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</si>
  <si>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</si>
  <si>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</si>
  <si>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</si>
  <si>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</si>
  <si>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</si>
  <si>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</si>
  <si>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</si>
  <si>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</si>
  <si>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</si>
  <si>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</si>
  <si>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</si>
  <si>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</si>
  <si>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</si>
  <si>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</si>
  <si>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</si>
  <si>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</si>
  <si>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</si>
  <si>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</si>
  <si>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</si>
  <si>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</si>
  <si>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</si>
  <si>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</si>
  <si>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</si>
  <si>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</si>
  <si>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</si>
  <si>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</si>
  <si>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</si>
  <si>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</si>
  <si>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</si>
  <si>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</si>
  <si>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</si>
  <si>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</si>
  <si>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</si>
  <si>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</si>
  <si>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</si>
  <si>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</si>
  <si>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</si>
  <si>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</si>
  <si>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</si>
  <si>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</si>
  <si>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</si>
  <si>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</si>
  <si>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</si>
  <si>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</si>
  <si>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</si>
  <si>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</si>
  <si>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</si>
  <si>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</si>
  <si>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</si>
  <si>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</si>
  <si>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</si>
  <si>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</si>
  <si>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</si>
  <si>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</si>
  <si>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</si>
  <si>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</si>
  <si>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</si>
  <si>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</si>
  <si>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</si>
  <si>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</si>
  <si>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</si>
  <si>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</si>
  <si>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</si>
  <si>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</si>
  <si>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</si>
  <si>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</si>
  <si>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</si>
  <si>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</si>
  <si>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</si>
  <si>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</si>
  <si>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</si>
  <si>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</si>
  <si>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</si>
  <si>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</si>
  <si>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</si>
  <si>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</si>
  <si>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</si>
  <si>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</si>
  <si>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</si>
  <si>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</si>
  <si>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</si>
  <si>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</si>
  <si>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</si>
  <si>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</si>
  <si>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</si>
  <si>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</si>
  <si>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</si>
  <si>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</si>
  <si>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</si>
  <si>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</si>
  <si>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</si>
  <si>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</si>
  <si>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</si>
  <si>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</si>
  <si>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</si>
  <si>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</si>
  <si>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</si>
  <si>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</si>
  <si>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</si>
  <si>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</si>
  <si>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</si>
  <si>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</si>
  <si>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</si>
  <si>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</si>
  <si>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</si>
  <si>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</si>
  <si>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</si>
  <si>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</si>
  <si>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</si>
  <si>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</si>
  <si>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</si>
  <si>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</si>
  <si>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</si>
  <si>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</si>
  <si>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</si>
  <si>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</si>
  <si>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</si>
  <si>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</si>
  <si>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</si>
  <si>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</si>
  <si>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</si>
  <si>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</si>
  <si>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</si>
  <si>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</si>
  <si>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</si>
  <si>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</si>
  <si>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</si>
  <si>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</si>
  <si>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</si>
  <si>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</si>
  <si>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</si>
  <si>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</si>
  <si>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</si>
  <si>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</si>
  <si>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</si>
  <si>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</si>
  <si>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</si>
  <si>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</si>
  <si>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</si>
  <si>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</si>
  <si>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</si>
  <si>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</si>
  <si>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</si>
  <si>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</si>
  <si>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</si>
  <si>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</si>
  <si>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</si>
  <si>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</si>
  <si>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</si>
  <si>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</si>
  <si>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</si>
  <si>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</si>
  <si>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</si>
  <si>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</si>
  <si>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</si>
  <si>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</si>
  <si>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</si>
  <si>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</si>
  <si>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</si>
  <si>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</si>
  <si>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</si>
  <si>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</si>
  <si>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</si>
  <si>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</si>
  <si>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</si>
  <si>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</si>
  <si>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</si>
  <si>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</si>
  <si>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</si>
  <si>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</si>
  <si>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</si>
  <si>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</si>
  <si>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</si>
  <si>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</si>
  <si>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</si>
  <si>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</si>
  <si>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</si>
  <si>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</si>
  <si>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</si>
  <si>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</si>
  <si>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</si>
  <si>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</si>
  <si>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</si>
  <si>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</si>
  <si>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</si>
  <si>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</si>
  <si>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</si>
  <si>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</si>
  <si>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</si>
  <si>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</si>
  <si>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</si>
  <si>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</si>
  <si>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</si>
  <si>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</si>
  <si>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</si>
  <si>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</si>
  <si>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</si>
  <si>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</si>
  <si>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</si>
  <si>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</si>
  <si>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</si>
  <si>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</si>
  <si>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</si>
  <si>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</si>
  <si>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</si>
  <si>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</si>
  <si>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</si>
  <si>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</si>
  <si>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</si>
  <si>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</si>
  <si>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</si>
  <si>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</si>
  <si>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</si>
  <si>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</si>
  <si>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</si>
  <si>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</si>
  <si>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</si>
  <si>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</si>
  <si>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</si>
  <si>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</si>
  <si>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</si>
  <si>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</si>
  <si>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</si>
  <si>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</si>
  <si>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</si>
  <si>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</si>
  <si>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</si>
  <si>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</si>
  <si>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</si>
  <si>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</si>
  <si>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</si>
  <si>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</si>
  <si>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</si>
  <si>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</si>
  <si>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</si>
  <si>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</si>
  <si>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</si>
  <si>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</si>
  <si>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</si>
  <si>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</si>
  <si>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</si>
  <si>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</si>
  <si>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</si>
  <si>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</si>
  <si>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</si>
  <si>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</si>
  <si>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</si>
  <si>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</si>
  <si>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</si>
  <si>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</si>
  <si>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</si>
  <si>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</si>
  <si>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</si>
  <si>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</si>
  <si>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</si>
  <si>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</si>
  <si>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</si>
  <si>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</si>
  <si>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</si>
  <si>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</si>
  <si>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</si>
  <si>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</si>
  <si>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</si>
  <si>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</si>
  <si>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</si>
  <si>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</si>
  <si>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</si>
  <si>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</si>
  <si>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</si>
  <si>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</si>
  <si>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</si>
  <si>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</si>
  <si>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</si>
  <si>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</si>
  <si>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</si>
  <si>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</si>
  <si>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</si>
  <si>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</si>
  <si>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</si>
  <si>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</si>
  <si>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</si>
  <si>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</si>
  <si>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</si>
  <si>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</si>
  <si>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</si>
  <si>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</si>
  <si>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</si>
  <si>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</si>
  <si>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</si>
  <si>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</si>
  <si>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</si>
  <si>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</si>
  <si>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</si>
  <si>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</si>
  <si>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</si>
  <si>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</si>
  <si>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</si>
  <si>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</si>
  <si>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</si>
  <si>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</si>
  <si>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</si>
  <si>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</si>
  <si>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</si>
  <si>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</si>
  <si>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</si>
  <si>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</si>
  <si>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</si>
  <si>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</si>
  <si>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</si>
  <si>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</si>
  <si>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</si>
  <si>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</si>
  <si>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</si>
  <si>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</si>
  <si>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</si>
  <si>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</si>
  <si>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</si>
  <si>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</si>
  <si>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</si>
  <si>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</si>
  <si>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</si>
  <si>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</si>
  <si>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</si>
  <si>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</si>
  <si>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</si>
  <si>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</si>
  <si>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</si>
  <si>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</si>
  <si>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</si>
  <si>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</si>
  <si>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</si>
  <si>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</si>
  <si>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</si>
  <si>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</si>
  <si>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</si>
  <si>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</si>
  <si>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</si>
  <si>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</si>
  <si>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</si>
  <si>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</si>
  <si>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</si>
  <si>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</si>
  <si>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</si>
  <si>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</si>
  <si>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</si>
  <si>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</si>
  <si>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</si>
  <si>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</si>
  <si>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</si>
  <si>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</si>
  <si>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</si>
  <si>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</si>
  <si>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</si>
  <si>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</si>
  <si>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</si>
  <si>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</si>
  <si>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</si>
  <si>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</si>
  <si>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</si>
  <si>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</si>
  <si>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</si>
  <si>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</si>
  <si>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</si>
  <si>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</si>
  <si>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</si>
  <si>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</si>
  <si>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</si>
  <si>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</si>
  <si>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</si>
  <si>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</si>
  <si>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</si>
  <si>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</si>
  <si>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</si>
  <si>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</si>
  <si>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</si>
  <si>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</si>
  <si>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</si>
  <si>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</si>
  <si>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</si>
  <si>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</si>
  <si>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</si>
  <si>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</si>
  <si>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</si>
  <si>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</si>
  <si>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</si>
  <si>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</si>
  <si>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</si>
  <si>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</si>
  <si>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</si>
  <si>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</si>
  <si>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</si>
  <si>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</si>
  <si>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</si>
  <si>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</si>
  <si>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</si>
  <si>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</si>
  <si>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</si>
  <si>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</si>
  <si>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</si>
  <si>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</si>
  <si>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</si>
  <si>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</si>
  <si>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</si>
  <si>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</si>
  <si>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</si>
  <si>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</si>
  <si>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</si>
  <si>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</si>
  <si>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</si>
  <si>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</si>
  <si>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</si>
  <si>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</si>
  <si>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</si>
  <si>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</si>
  <si>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</si>
  <si>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</si>
  <si>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</si>
  <si>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</si>
  <si>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</si>
  <si>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</si>
  <si>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</si>
  <si>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</si>
  <si>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</si>
  <si>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</si>
  <si>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</si>
  <si>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</si>
  <si>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</si>
  <si>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</si>
  <si>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</si>
  <si>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</si>
  <si>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</si>
  <si>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</si>
  <si>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</si>
  <si>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</si>
  <si>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</si>
  <si>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</si>
  <si>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</si>
  <si>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</si>
  <si>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</si>
  <si>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</si>
  <si>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</si>
  <si>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</si>
  <si>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</si>
  <si>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</si>
  <si>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</si>
  <si>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</si>
  <si>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</si>
  <si>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</si>
  <si>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</si>
  <si>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</si>
  <si>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</si>
  <si>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</si>
  <si>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</si>
  <si>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</si>
  <si>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</si>
  <si>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</si>
  <si>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</si>
  <si>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</si>
  <si>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</si>
  <si>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</si>
  <si>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</si>
  <si>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</si>
  <si>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</si>
  <si>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</si>
  <si>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</si>
  <si>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</si>
  <si>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</si>
  <si>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</si>
  <si>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</si>
  <si>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</si>
  <si>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</si>
  <si>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</si>
  <si>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</si>
  <si>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</si>
  <si>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</si>
  <si>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</si>
  <si>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</si>
  <si>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</si>
  <si>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</si>
  <si>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</si>
  <si>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</si>
  <si>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</si>
  <si>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</si>
  <si>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</si>
  <si>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</si>
  <si>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</si>
  <si>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</si>
  <si>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</si>
  <si>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</si>
  <si>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</si>
  <si>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</si>
  <si>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</si>
  <si>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</si>
  <si>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</si>
  <si>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</si>
  <si>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</si>
  <si>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</si>
  <si>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</si>
  <si>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</si>
  <si>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</si>
  <si>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</si>
  <si>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</si>
  <si>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</si>
  <si>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</si>
  <si>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</si>
  <si>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</si>
  <si>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</si>
  <si>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</si>
  <si>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</si>
  <si>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</si>
  <si>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</si>
  <si>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</si>
  <si>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</si>
  <si>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</si>
  <si>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</si>
  <si>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</si>
  <si>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</si>
  <si>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</si>
  <si>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</si>
  <si>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</si>
  <si>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</si>
  <si>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</si>
  <si>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</si>
  <si>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</si>
  <si>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</si>
  <si>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</si>
  <si>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</si>
  <si>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</si>
  <si>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</si>
  <si>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</si>
  <si>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</si>
  <si>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</si>
  <si>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</si>
  <si>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</si>
  <si>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</si>
  <si>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</si>
  <si>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</si>
  <si>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</si>
  <si>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</si>
  <si>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</si>
  <si>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</si>
  <si>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</si>
  <si>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</si>
  <si>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</si>
  <si>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</si>
  <si>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</si>
  <si>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</si>
  <si>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</si>
  <si>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</si>
  <si>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</si>
  <si>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</si>
  <si>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</si>
  <si>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</si>
  <si>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</si>
  <si>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</si>
  <si>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</si>
  <si>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</si>
  <si>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</si>
  <si>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</si>
  <si>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</si>
  <si>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</si>
  <si>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</si>
  <si>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</si>
  <si>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</si>
  <si>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</si>
  <si>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</si>
  <si>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</si>
  <si>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</si>
  <si>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</si>
  <si>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</si>
  <si>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</si>
  <si>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</si>
  <si>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</si>
  <si>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</si>
  <si>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</si>
  <si>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</si>
  <si>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</si>
  <si>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</si>
  <si>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</si>
  <si>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</si>
  <si>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</si>
  <si>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- 550 Bangor</t>
  </si>
  <si>
    <t>James Baer</t>
  </si>
  <si>
    <t>james.baer@amwater.com</t>
  </si>
  <si>
    <t>610-842-3118</t>
  </si>
  <si>
    <t>Bangor</t>
  </si>
  <si>
    <t>USA</t>
  </si>
  <si>
    <t>Calendar</t>
  </si>
  <si>
    <t>3480038, 3480053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</si>
</sst>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44.076056978821519</c:v>
                </c:pt>
                <c:pt idx="1">
                  <c:v>2.0024160337996988</c:v>
                </c:pt>
                <c:pt idx="2">
                  <c:v>204.22353121234113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3.3575412763629613</c:v>
                </c:pt>
                <c:pt idx="1">
                  <c:v>0.26113598867139654</c:v>
                </c:pt>
                <c:pt idx="2">
                  <c:v>29.023321318890211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27.526589326059941</c:v>
                </c:pt>
                <c:pt idx="1">
                  <c:v>0.92482240795754933</c:v>
                </c:pt>
                <c:pt idx="2">
                  <c:v>87.151389260676183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19.543327317064843</c:v>
                </c:pt>
                <c:pt idx="1">
                  <c:v>0.38772920688421864</c:v>
                </c:pt>
                <c:pt idx="2">
                  <c:v>28.535094336578265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7.9832620089951014</c:v>
                </c:pt>
                <c:pt idx="1">
                  <c:v>0.56875750335916142</c:v>
                </c:pt>
                <c:pt idx="2">
                  <c:v>62.542668407540916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96</c:v>
                </c:pt>
                <c:pt idx="1">
                  <c:v>1.2666666666666666</c:v>
                </c:pt>
                <c:pt idx="2" formatCode="General">
                  <c:v>102.73333333333333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62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0.6</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2.8860000000000001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0.27900000000000003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3.6043877551020302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0.53700000000000003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53.608165440650339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$101,161/Yr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322.28999999999996</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1550.2148999999999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4461.21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57444.941632652895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8586.630000000001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28795.626066445329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31.565808526427517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1.8569082087051867</c:v>
                </c:pt>
                <c:pt idx="1">
                  <c:v>9.0856271993300333E-2</c:v>
                </c:pt>
                <c:pt idx="2">
                  <c:v>9.4092695184640558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40.718515702458561</c:v>
                </c:pt>
                <c:pt idx="1">
                  <c:v>1.8469276802355887</c:v>
                </c:pt>
                <c:pt idx="2">
                  <c:v>188.30051664675443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2567.6868206078329</c:v>
                </c:pt>
                <c:pt idx="1">
                  <c:v>97.186039594358903</c:v>
                </c:pt>
                <c:pt idx="2" formatCode="_(* #,##0_);_(* \(#,##0\);_(* &quot;-&quot;??_);_(@_)">
                  <c:v>9483.382089092669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4.png"/><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IEA"/><Relationship Id="rId18" Type="http://schemas.openxmlformats.org/officeDocument/2006/relationships/hyperlink" Target="#'Interactive Data Grading'!Lm"/><Relationship Id="rId3" Type="http://schemas.openxmlformats.org/officeDocument/2006/relationships/image" Target="../media/image4.emf"/><Relationship Id="rId21" Type="http://schemas.openxmlformats.org/officeDocument/2006/relationships/hyperlink" Target="#'Interactive Data Grading'!CRUC"/><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AOP"/><Relationship Id="rId25" Type="http://schemas.openxmlformats.org/officeDocument/2006/relationships/image" Target="../media/image1.png"/><Relationship Id="rId2" Type="http://schemas.openxmlformats.org/officeDocument/2006/relationships/hyperlink" Target="#'Interactive Data Grading'!CMI"/><Relationship Id="rId16" Type="http://schemas.openxmlformats.org/officeDocument/2006/relationships/hyperlink" Target="#'Interactive Data Grading'!WI"/><Relationship Id="rId20" Type="http://schemas.openxmlformats.org/officeDocument/2006/relationships/hyperlink" Target="#'Interactive Data Grading'!L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WEEA"/><Relationship Id="rId24" Type="http://schemas.openxmlformats.org/officeDocument/2006/relationships/hyperlink" Target="#'Interactive Data Grading'!UUAC"/><Relationship Id="rId5" Type="http://schemas.openxmlformats.org/officeDocument/2006/relationships/image" Target="../media/image5.emf"/><Relationship Id="rId15" Type="http://schemas.openxmlformats.org/officeDocument/2006/relationships/hyperlink" Target="#'Interactive Data Grading'!VOSEA"/><Relationship Id="rId23" Type="http://schemas.openxmlformats.org/officeDocument/2006/relationships/hyperlink" Target="#'Interactive Data Grading'!VPC"/><Relationship Id="rId10" Type="http://schemas.openxmlformats.org/officeDocument/2006/relationships/hyperlink" Target="#'Interactive Data Grading'!BUAC"/><Relationship Id="rId19" Type="http://schemas.openxmlformats.org/officeDocument/2006/relationships/hyperlink" Target="#'Interactive Data Grading'!Nc"/><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VOS"/><Relationship Id="rId22" Type="http://schemas.openxmlformats.org/officeDocument/2006/relationships/image" Target="../media/image7.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4.png"/><Relationship Id="rId3" Type="http://schemas.openxmlformats.org/officeDocument/2006/relationships/chart" Target="../charts/chart4.xml"/><Relationship Id="rId21" Type="http://schemas.openxmlformats.org/officeDocument/2006/relationships/image" Target="../media/image1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67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67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673"/>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674"/>
                  </a:ext>
                </a:extLst>
              </xdr:cNvPicPr>
            </xdr:nvPicPr>
            <xdr:blipFill rotWithShape="1">
              <a:blip xmlns:r="http://schemas.openxmlformats.org/officeDocument/2006/relationships" r:embed="rId3"/>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675"/>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676"/>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677"/>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678"/>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679"/>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680"/>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681"/>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5"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682"/>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6"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683"/>
                  </a:ext>
                </a:extLst>
              </xdr:cNvPicPr>
            </xdr:nvPicPr>
            <xdr:blipFill rotWithShape="1">
              <a:blip xmlns:r="http://schemas.openxmlformats.org/officeDocument/2006/relationships" r:embed="rId3"/>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7"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684"/>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8"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685"/>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19"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686"/>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0"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687"/>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1"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688"/>
                  </a:ext>
                </a:extLst>
              </xdr:cNvPicPr>
            </xdr:nvPicPr>
            <xdr:blipFill rotWithShape="1">
              <a:blip xmlns:r="http://schemas.openxmlformats.org/officeDocument/2006/relationships" r:embed="rId22"/>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3"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689"/>
                  </a:ext>
                </a:extLst>
              </xdr:cNvPicPr>
            </xdr:nvPicPr>
            <xdr:blipFill rotWithShape="1">
              <a:blip xmlns:r="http://schemas.openxmlformats.org/officeDocument/2006/relationships" r:embed="rId5"/>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4"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893946" cy="375842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79.2">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17" sqref="AB17:AL17"/>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46085</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13882</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P70" sqref="P70"/>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- 550 Bangor</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237.102</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1.8E-3</v>
      </c>
      <c r="P15" s="580" t="s">
        <v>787</v>
      </c>
      <c r="Q15" s="1033"/>
      <c r="R15" s="1038"/>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0.42678359999999999</v>
      </c>
      <c r="Y15" s="103">
        <f>$Y$19/$Y$18*H15</f>
        <v>34.937113196246756</v>
      </c>
      <c r="Z15" s="147">
        <f>$Y$19/$Y$18*ABS(X15)</f>
        <v>6.2886803753244153E-2</v>
      </c>
      <c r="AA15" s="896">
        <f>IF(W15=1,input_VOS-input_VOS/(1+O15*AB15),Q15*AB15)</f>
        <v>-0.42755319575235262</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237.52955319575236</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237.5287836</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237.52955319575236</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10</v>
      </c>
      <c r="G23" s="94"/>
      <c r="H23" s="321">
        <v>176.01499999999999</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13.952438920816466</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4.7561079183534812E-2</v>
      </c>
      <c r="Z24" s="146"/>
    </row>
    <row r="25" spans="1:33" ht="13.35" customHeight="1">
      <c r="A25" s="91"/>
      <c r="B25" s="562" t="s">
        <v>919</v>
      </c>
      <c r="C25" s="529" t="s">
        <v>483</v>
      </c>
      <c r="D25" s="841" t="s">
        <v>881</v>
      </c>
      <c r="E25" s="577" t="s">
        <v>882</v>
      </c>
      <c r="F25" s="492">
        <f>'Interactive Data Grading'!D224</f>
        <v>10</v>
      </c>
      <c r="G25" s="94"/>
      <c r="H25" s="501">
        <v>0.6</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176.61499999999998</v>
      </c>
      <c r="Z25" s="146"/>
      <c r="AF25" s="99" t="s">
        <v>148</v>
      </c>
    </row>
    <row r="26" spans="1:33" ht="15" customHeight="1" thickBot="1">
      <c r="A26" s="91"/>
      <c r="B26" s="562" t="s">
        <v>920</v>
      </c>
      <c r="C26" s="529" t="s">
        <v>484</v>
      </c>
      <c r="D26" s="841" t="s">
        <v>881</v>
      </c>
      <c r="E26" s="577" t="s">
        <v>882</v>
      </c>
      <c r="F26" s="492">
        <f>'Interactive Data Grading'!D247</f>
        <v>8</v>
      </c>
      <c r="G26" s="94"/>
      <c r="H26" s="498">
        <f>IF(OR(W26=1,AND(W26=2,Q26=0)),O26*SUM(H23:H24),Q26)</f>
        <v>2.8860000000000001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2.8860000000000001</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179.50099999999998</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58.02855319575238</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0.53700000000000003</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0.53700000000000003</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3.6043877551020387</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0.27900000000000003</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0.27900000000000003</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4.4203877551020385</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3.5921428571428464</v>
      </c>
      <c r="Y50" s="135">
        <f>IFERROR(IF(W41=1,((H25)/(1-(O41*X41)))-(H25),Q41*H25/(H23+H25)),0)</f>
        <v>1.2244897959183709E-2</v>
      </c>
      <c r="Z50" s="923">
        <f>SUM(X50:Y50)</f>
        <v>3.6043877551020302</v>
      </c>
      <c r="AA50" s="1070"/>
      <c r="AB50" s="1070"/>
      <c r="AC50" s="1070"/>
    </row>
    <row r="51" spans="1:29">
      <c r="A51" s="91"/>
      <c r="B51" s="562"/>
      <c r="C51" s="1050" t="s">
        <v>662</v>
      </c>
      <c r="D51" s="1050"/>
      <c r="E51" s="1050"/>
      <c r="F51" s="1050"/>
      <c r="G51" s="869"/>
      <c r="H51" s="868">
        <f>IFERROR(H35-H46,"")</f>
        <v>53.608165440650339</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57438.364285714117</v>
      </c>
      <c r="Y51" s="940">
        <f>Y50*input_VPC</f>
        <v>6.5773469387755288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58.02855319575238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61.514553195752384</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57.2</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3607</v>
      </c>
      <c r="I62" s="291"/>
      <c r="J62" s="292"/>
      <c r="K62" s="101"/>
      <c r="L62" s="101"/>
      <c r="M62" s="292" t="s">
        <v>902</v>
      </c>
      <c r="N62" s="101"/>
      <c r="U62" s="256"/>
      <c r="V62" s="91"/>
    </row>
    <row r="63" spans="1:29">
      <c r="A63" s="91"/>
      <c r="B63" s="562"/>
      <c r="C63" s="529" t="s">
        <v>165</v>
      </c>
      <c r="D63" s="53"/>
      <c r="E63" s="512"/>
      <c r="F63" s="273"/>
      <c r="G63" s="53"/>
      <c r="H63" s="500">
        <f>IF(ISERROR(H62/H61),"",H62/H61)</f>
        <v>63.059440559440553</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18</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18</v>
      </c>
      <c r="X67" s="54" t="s">
        <v>130</v>
      </c>
      <c r="Y67" s="54"/>
      <c r="Z67" s="54"/>
    </row>
    <row r="68" spans="1:26">
      <c r="A68" s="91"/>
      <c r="B68" s="562" t="s">
        <v>915</v>
      </c>
      <c r="C68" s="529" t="s">
        <v>487</v>
      </c>
      <c r="D68" s="841" t="s">
        <v>881</v>
      </c>
      <c r="E68" s="577" t="s">
        <v>882</v>
      </c>
      <c r="F68" s="492">
        <f>'Interactive Data Grading'!D422</f>
        <v>10</v>
      </c>
      <c r="G68" s="53"/>
      <c r="H68" s="325">
        <v>83.9</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537.15</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1494223</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Unauthorized Consumption (UC)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Unbilled Unmetered (UUAC)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AA246" sqref="AA246"/>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- 550 Bangor</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838</v>
      </c>
      <c r="E244" s="753" t="str">
        <f>IF(OR($D$247=10,$D$247=3),"",IFERROR(IF(H244=MIN($H$244:$H$246),"Limiting",""),""))</f>
        <v>Limiting</v>
      </c>
      <c r="F244" s="327"/>
      <c r="H244" s="818">
        <f>VLOOKUP('Interactive Data Grading'!D244,UUAC!$C$6:$F$15,4,FALSE)</f>
        <v>8</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8</v>
      </c>
      <c r="E247" s="753"/>
      <c r="F247" s="327"/>
      <c r="H247" s="821">
        <f>MIN(H244:H246)</f>
        <v>8</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78"/>
      <c r="O270" s="1078"/>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860</v>
      </c>
      <c r="E294" s="753" t="str">
        <f t="shared" si="17"/>
        <v/>
      </c>
      <c r="F294" s="327"/>
      <c r="G294" s="810">
        <f t="shared" si="16"/>
        <v>1</v>
      </c>
      <c r="H294" s="818">
        <f>VLOOKUP('Interactive Data Grading'!D294,CMI!$F$6:$J$16,5,FALSE)</f>
        <v>8</v>
      </c>
      <c r="I294" s="818">
        <f>H294</f>
        <v>8</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Limiting</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6"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- 550 Bangor</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96</v>
      </c>
      <c r="BS6" s="710"/>
      <c r="BT6" s="709"/>
      <c r="BU6" s="711"/>
      <c r="BV6" s="711"/>
      <c r="BW6" s="711"/>
      <c r="BX6" s="58"/>
      <c r="BY6" s="58"/>
    </row>
    <row r="7" spans="1:77" s="244" customFormat="1" ht="12.9" customHeight="1">
      <c r="A7" s="243"/>
      <c r="B7" s="335"/>
      <c r="C7" s="58"/>
      <c r="D7" s="247"/>
      <c r="E7" s="852"/>
      <c r="F7" s="247"/>
      <c r="G7" s="247"/>
      <c r="H7" s="678"/>
      <c r="I7" s="792" t="s">
        <v>237</v>
      </c>
      <c r="J7" s="1090">
        <f>BR6</f>
        <v>96</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96</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102.73333333333333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27.526589326059941</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27.526589326059941</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27.526589326059941</v>
      </c>
      <c r="AB18" s="1100"/>
      <c r="AC18" s="1100"/>
      <c r="AD18" s="871" t="str">
        <f>BD13</f>
        <v>$/conn/year</v>
      </c>
      <c r="AE18" s="872"/>
      <c r="AF18" s="873"/>
      <c r="AG18" s="873"/>
      <c r="AH18" s="874"/>
      <c r="AI18" s="874"/>
      <c r="AJ18" s="872"/>
      <c r="AK18" s="1100">
        <f>BS22</f>
        <v>19.543327317064843</v>
      </c>
      <c r="AL18" s="1100"/>
      <c r="AM18" s="1100"/>
      <c r="AN18" s="871" t="str">
        <f>BD13</f>
        <v>$/conn/year</v>
      </c>
      <c r="AO18" s="872"/>
      <c r="AP18" s="872"/>
      <c r="AQ18" s="872"/>
      <c r="AR18" s="872"/>
      <c r="AS18" s="872"/>
      <c r="AT18" s="872"/>
      <c r="AU18" s="1100">
        <f>BS29</f>
        <v>7.9832620089951014</v>
      </c>
      <c r="AV18" s="1100"/>
      <c r="AW18" s="1100"/>
      <c r="AX18" s="871" t="str">
        <f>BD13</f>
        <v>$/conn/year</v>
      </c>
      <c r="AY18" s="701"/>
      <c r="AZ18" s="247"/>
      <c r="BA18" s="247"/>
      <c r="BB18" s="342"/>
      <c r="BC18" s="109"/>
      <c r="BD18" s="58" t="s">
        <v>706</v>
      </c>
      <c r="BE18" s="234">
        <f>(((5.41*Worksheet!H61)+(0.15*Worksheet!H62)+(7.5*(Worksheet!H62*Worksheet!W67/5280)))*Worksheet!H68)/1000000*365</f>
        <v>28.869582884784091</v>
      </c>
      <c r="BN18" s="659"/>
      <c r="BO18" s="716" t="s">
        <v>1039</v>
      </c>
      <c r="BP18" s="718">
        <f>BQ18-BQ17</f>
        <v>8.9525318444022357</v>
      </c>
      <c r="BQ18" s="900">
        <f t="shared" si="0"/>
        <v>18.283980813778896</v>
      </c>
      <c r="BR18" s="716" t="s">
        <v>779</v>
      </c>
      <c r="BS18" s="720">
        <f>SUM(BP16:BP20)-SUM(BS16,BS17)</f>
        <v>87.151389260676183</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88.597380496797783</v>
      </c>
      <c r="BF19" s="233">
        <f>BE19*325851.427242/Worksheet!H62/365</f>
        <v>21.928125209189204</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169.60366122500002</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19.543327317064843</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19.543327317064843</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28.535094336578265</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44.076056978821519</v>
      </c>
      <c r="AB29" s="1104"/>
      <c r="AC29" s="1104"/>
      <c r="AD29" s="870" t="str">
        <f>BD10</f>
        <v>gal/conn/day</v>
      </c>
      <c r="AE29" s="870"/>
      <c r="AF29" s="875"/>
      <c r="AG29" s="875"/>
      <c r="AH29" s="700"/>
      <c r="AI29" s="700"/>
      <c r="AJ29" s="700"/>
      <c r="AK29" s="1104">
        <f>BS43</f>
        <v>3.3575412763629613</v>
      </c>
      <c r="AL29" s="1104"/>
      <c r="AM29" s="1104"/>
      <c r="AN29" s="871" t="str">
        <f>BD10</f>
        <v>gal/conn/day</v>
      </c>
      <c r="AO29" s="700"/>
      <c r="AP29" s="700"/>
      <c r="AQ29" s="700"/>
      <c r="AR29" s="700"/>
      <c r="AS29" s="700"/>
      <c r="AT29" s="700"/>
      <c r="AU29" s="1110">
        <f>BS55</f>
        <v>40.718515702458561</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7.9832620089951014</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7.9832620089951014</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83.9</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62.542668407540916</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44.076056978821519</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44.076056978821519</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204.22353121234113</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1.8569082087051867</v>
      </c>
      <c r="AI41" s="1109"/>
      <c r="AJ41" s="1109"/>
      <c r="AK41" s="870" t="s">
        <v>1048</v>
      </c>
      <c r="AL41" s="799"/>
      <c r="AM41" s="800"/>
      <c r="AN41" s="796"/>
      <c r="AO41" s="796"/>
      <c r="AP41" s="796"/>
      <c r="AQ41" s="796"/>
      <c r="AR41" s="796"/>
      <c r="AS41" s="1108">
        <f>BS69</f>
        <v>2567.6868206078329</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28.869582884784091</v>
      </c>
      <c r="AL43" s="1106"/>
      <c r="AM43" s="1106"/>
      <c r="AN43" s="1106"/>
      <c r="AO43" s="916" t="str">
        <f>BD7</f>
        <v>MG/Yr</v>
      </c>
      <c r="AP43" s="700"/>
      <c r="AQ43" s="700"/>
      <c r="AR43" s="700"/>
      <c r="AS43" s="1106">
        <f>IF(BG19=1,BF19,IFERROR(AK43*1000000/Worksheet!H62/365,""))</f>
        <v>21.928125209189204</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3.3575412763629613</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3.3575412763629613</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29.023321318890211</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4.4203877551020385</v>
      </c>
      <c r="J49" s="1115"/>
      <c r="K49" s="1115"/>
      <c r="L49" s="1115"/>
      <c r="M49" s="683"/>
      <c r="N49" s="1116">
        <f>IF(OR(ISBLANK('Start Page'!$AB$22),ISBLANK(Worksheet!J76)),"",(SUM(Worksheet!H43+Worksheet!H39+Worksheet!X50)*Worksheet!H76)*INDEX(Sheet1!B2:D4,MATCH('Start Page'!AB22,Sheet1!A2:A4,0),MATCH(Worksheet!J76,Sheet1!B1:D1,0))+Worksheet!Y50*Worksheet!H77)</f>
        <v>70492.781632652885</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53.608165440650339</v>
      </c>
      <c r="J50" s="1115"/>
      <c r="K50" s="1115"/>
      <c r="L50" s="1115"/>
      <c r="M50" s="683"/>
      <c r="N50" s="1116">
        <f>IFERROR(IF(Worksheet!H41="Select under/over","",IF(ISBLANK('Start Page'!AB22),"",Worksheet!H51*(IF(BD29=FALSE,Worksheet!H77,IF(BD29=TRUE,Worksheet!H76*INDEX(Sheet1!B2:D4,MATCH('Start Page'!AB22,Sheet1!A2:A4,0),MATCH(Worksheet!J76,Sheet1!B1:D1,0)),""))))),"")</f>
        <v>28795.626066445329</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3.4860000000000002</v>
      </c>
      <c r="J51" s="1115"/>
      <c r="K51" s="1115"/>
      <c r="L51" s="1115"/>
      <c r="M51" s="683"/>
      <c r="N51" s="1116">
        <f>IFERROR(IF(SUM(Sheet1!D90:D91)=0,"",SUM(Sheet1!D90:D91)),"")</f>
        <v>1872.5048999999999</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61.514553195752377</v>
      </c>
      <c r="J52" s="1115"/>
      <c r="K52" s="1115"/>
      <c r="L52" s="1115"/>
      <c r="M52" s="683"/>
      <c r="N52" s="1116">
        <f>IF(SUM(N49:N51)=0,"",SUM(N49:N51))</f>
        <v>101160.91259909821</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40.718515702458561</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40.718515702458561</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188.30051664675443</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1.8569082087051867</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1.8569082087051867</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9.4092695184640558</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2567.6868206078329</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2567.6868206078329</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9483.382089092669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31.565808526427517</v>
      </c>
      <c r="BQ83" s="733">
        <f>BP83+BQ78</f>
        <v>83.9</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- 550 Bangor</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62 MG/Yr</v>
      </c>
    </row>
    <row r="79" spans="1:6" ht="13.8">
      <c r="B79" s="52"/>
      <c r="C79" s="52"/>
      <c r="D79" s="52"/>
      <c r="E79" s="9" t="str">
        <f>IFERROR("Total Cost of NRW = $"&amp;TEXT(SUM(D90,D91,D94,D95,D96,D97,D99),"#,###")&amp;"/Yr","")</f>
        <v>Total Cost of NRW = $101,161/Yr</v>
      </c>
      <c r="F79" s="52"/>
    </row>
    <row r="80" spans="1:6">
      <c r="A80"/>
      <c r="B80"/>
      <c r="C80" s="53" t="str">
        <f>"Volume ("&amp;Worksheet!J15&amp;")"</f>
        <v>Volume (MG/Yr)</v>
      </c>
      <c r="D80" s="53" t="s">
        <v>147</v>
      </c>
      <c r="E80" s="94" t="s">
        <v>1085</v>
      </c>
      <c r="F80"/>
    </row>
    <row r="81" spans="1:6">
      <c r="A81" s="46" t="s">
        <v>127</v>
      </c>
      <c r="B81" s="46"/>
      <c r="C81" s="122">
        <f>IF(Dashboard!BO$2&gt;0,"",Worksheet!H15)</f>
        <v>237.102</v>
      </c>
      <c r="D81" s="123">
        <f>IF(Dashboard!BO$2&gt;0,"",C81*(Worksheet!$H$77))</f>
        <v>127359.33929999999</v>
      </c>
      <c r="E81" s="605">
        <f>D81</f>
        <v>127359.33929999999</v>
      </c>
      <c r="F81" s="84" t="s">
        <v>1084</v>
      </c>
    </row>
    <row r="82" spans="1:6">
      <c r="A82" s="46" t="str">
        <f>A81&amp;" MA"</f>
        <v>Vol. from own sources: MA</v>
      </c>
      <c r="B82" s="46"/>
      <c r="C82" s="122">
        <f>IF(Dashboard!BO$2&gt;0,"",Worksheet!X15)</f>
        <v>0.42678359999999999</v>
      </c>
      <c r="D82" s="123">
        <f>IF(Dashboard!BO$2&gt;0,"",C82*(Worksheet!$H$77))</f>
        <v>229.24681073999997</v>
      </c>
      <c r="E82" s="605">
        <f t="shared" ref="E82:E100" si="0">D82</f>
        <v>229.24681073999997</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237.52955319575236</v>
      </c>
      <c r="D87" s="123">
        <f>IF(Dashboard!BO$2&gt;0,"",C87*(Worksheet!$H$77))</f>
        <v>127588.99949909837</v>
      </c>
      <c r="E87" s="605">
        <f t="shared" si="0"/>
        <v>127588.99949909837</v>
      </c>
      <c r="F87"/>
    </row>
    <row r="88" spans="1:6">
      <c r="A88" s="158" t="s">
        <v>1269</v>
      </c>
      <c r="B88"/>
      <c r="C88" s="122">
        <f>IF(Dashboard!BO$2&gt;0,"",Worksheet!H23)</f>
        <v>176.01499999999999</v>
      </c>
      <c r="D88" s="123">
        <f>IF(Dashboard!BO$2&gt;0,"",C88*(Worksheet!$H$76*1000))</f>
        <v>2814479.8499999996</v>
      </c>
      <c r="E88" s="605">
        <f t="shared" si="0"/>
        <v>2814479.8499999996</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0.6</v>
      </c>
      <c r="D90" s="951">
        <f>IF(Dashboard!BO$2&gt;0,"",IF(ISBLANK('Start Page'!AB22),"",IF(AND(ISBLANK(Worksheet!H77),Worksheet!Z77&lt;&gt;1),"",Worksheet!H25*(IF(Dashboard!BD29=FALSE,Worksheet!H77,IF(Dashboard!BD29=TRUE,Worksheet!H76*INDEX(Sheet1!B2:D4,MATCH('Start Page'!AB22,Sheet1!A2:A4,0),MATCH(Worksheet!J76,Sheet1!B1:D1,0)),""))))))</f>
        <v>322.28999999999996</v>
      </c>
      <c r="E90" s="952">
        <f t="shared" si="0"/>
        <v>322.28999999999996</v>
      </c>
      <c r="F90"/>
    </row>
    <row r="91" spans="1:6">
      <c r="A91" s="953" t="str">
        <f>"Unbilled Unmetered (UUAC) valued at "&amp;A76&amp;""</f>
        <v xml:space="preserve">Unbilled Unmetered (UUAC) valued at </v>
      </c>
      <c r="B91" s="949"/>
      <c r="C91" s="950">
        <f>IF(Dashboard!BO$2&gt;0,"",Worksheet!H26)</f>
        <v>2.8860000000000001</v>
      </c>
      <c r="D91" s="951">
        <f>IF(Dashboard!BO$2&gt;0,"",IF(ISBLANK('Start Page'!AB22),"",IF(AND(ISBLANK(Worksheet!H77),Worksheet!Z77&lt;&gt;1),"",Worksheet!H26*(IF(Dashboard!BD29=FALSE,Worksheet!H77,IF(Dashboard!BD29=TRUE,Worksheet!H76*INDEX(Sheet1!B2:D4,MATCH('Start Page'!AB22,Sheet1!A2:A4,0),MATCH(Worksheet!J76,Sheet1!B1:D1,0)),""))))))</f>
        <v>1550.2148999999999</v>
      </c>
      <c r="E91" s="952">
        <f t="shared" si="0"/>
        <v>1550.2148999999999</v>
      </c>
      <c r="F91"/>
    </row>
    <row r="92" spans="1:6">
      <c r="A92" s="158" t="s">
        <v>2</v>
      </c>
      <c r="B92" s="125" t="s">
        <v>239</v>
      </c>
      <c r="C92" s="122">
        <f>IF(Dashboard!BO$2&gt;0,"",Worksheet!H30)</f>
        <v>179.50099999999998</v>
      </c>
      <c r="D92" s="123">
        <f>IF(Dashboard!BO$2&gt;0,"",C92*(Worksheet!$H$76*1000))</f>
        <v>2870220.9899999998</v>
      </c>
      <c r="E92" s="605">
        <f t="shared" si="0"/>
        <v>2870220.9899999998</v>
      </c>
      <c r="F92"/>
    </row>
    <row r="93" spans="1:6">
      <c r="A93" t="s">
        <v>51</v>
      </c>
      <c r="B93"/>
      <c r="C93" s="122">
        <f>IF(Dashboard!BO$2&gt;0,"",Worksheet!H35)</f>
        <v>58.02855319575238</v>
      </c>
      <c r="D93" s="123"/>
      <c r="E93" s="605">
        <f t="shared" si="0"/>
        <v>0</v>
      </c>
      <c r="F93"/>
    </row>
    <row r="94" spans="1:6">
      <c r="A94" s="223" t="s">
        <v>678</v>
      </c>
      <c r="B94" s="46"/>
      <c r="C94" s="126">
        <f>IF(Dashboard!BO$2&gt;0,"",Worksheet!H43)</f>
        <v>0.27900000000000003</v>
      </c>
      <c r="D94" s="127">
        <f>IF(Dashboard!BO$2&gt;0,"",IF(ISBLANK('Start Page'!AB22),"",IF(AND(ISBLANK(Worksheet!H77),Worksheet!Z77&lt;&gt;1),"",C94*Worksheet!H76*INDEX(Sheet1!B2:D4,MATCH('Start Page'!AB22,Sheet1!A2:A4,0),MATCH(Worksheet!J76,Sheet1!B1:D1,0)))))</f>
        <v>4461.21</v>
      </c>
      <c r="E94" s="606">
        <f t="shared" si="0"/>
        <v>4461.21</v>
      </c>
      <c r="F94" s="128"/>
    </row>
    <row r="95" spans="1:6">
      <c r="A95" s="935" t="s">
        <v>679</v>
      </c>
      <c r="B95" s="934"/>
      <c r="C95" s="936">
        <f>Worksheet!X50</f>
        <v>3.5921428571428464</v>
      </c>
      <c r="D95" s="937">
        <f>IF(Dashboard!BO$2&gt;0,"",IF(ISBLANK('Start Page'!AB22),"",IF(AND(ISBLANK(Worksheet!H77),Worksheet!Z77&lt;&gt;1),"",C95*Worksheet!H76*INDEX(Sheet1!B2:D4,MATCH('Start Page'!AB22,Sheet1!A2:A4,0),MATCH(Worksheet!J76,Sheet1!B1:D1,0)))))</f>
        <v>57438.364285714117</v>
      </c>
      <c r="E95" s="938">
        <f t="shared" si="0"/>
        <v>57438.364285714117</v>
      </c>
      <c r="F95" s="128"/>
    </row>
    <row r="96" spans="1:6">
      <c r="A96" s="935" t="s">
        <v>1271</v>
      </c>
      <c r="B96" s="934"/>
      <c r="C96" s="936">
        <f>Worksheet!Y50</f>
        <v>1.2244897959183709E-2</v>
      </c>
      <c r="D96" s="937">
        <f>C96*input_VPC</f>
        <v>6.5773469387755288</v>
      </c>
      <c r="E96" s="938">
        <f t="shared" si="0"/>
        <v>6.5773469387755288</v>
      </c>
      <c r="F96" s="941" t="s">
        <v>1273</v>
      </c>
    </row>
    <row r="97" spans="1:7">
      <c r="A97" s="223" t="s">
        <v>680</v>
      </c>
      <c r="B97" s="46"/>
      <c r="C97" s="126">
        <f>IF(Dashboard!BO$2&gt;0,"",Worksheet!H39)</f>
        <v>0.53700000000000003</v>
      </c>
      <c r="D97" s="127">
        <f>IF(Dashboard!BO$2&gt;0,"",IF(ISBLANK('Start Page'!AB22),"",IF(AND(ISBLANK(Worksheet!H77),Worksheet!Z77&lt;&gt;1),"",C97*Worksheet!H76*INDEX(Sheet1!B2:D4,MATCH('Start Page'!AB22,Sheet1!A2:A4,0),MATCH(Worksheet!J76,Sheet1!B1:D1,0)))))</f>
        <v>8586.630000000001</v>
      </c>
      <c r="E97" s="606">
        <f t="shared" si="0"/>
        <v>8586.630000000001</v>
      </c>
      <c r="F97" s="128"/>
    </row>
    <row r="98" spans="1:7">
      <c r="A98" s="945" t="s">
        <v>42</v>
      </c>
      <c r="B98" s="945"/>
      <c r="C98" s="946">
        <f>IF(Dashboard!BO$2&gt;0,"",Worksheet!H46)</f>
        <v>4.4203877551020385</v>
      </c>
      <c r="D98" s="947">
        <f>IF(Dashboard!BO$2&gt;0,"",SUM(D94:D97))</f>
        <v>70492.781632652899</v>
      </c>
      <c r="E98" s="605">
        <f t="shared" si="0"/>
        <v>70492.781632652899</v>
      </c>
      <c r="F98"/>
    </row>
    <row r="99" spans="1:7">
      <c r="A99" s="54" t="str">
        <f>"Real Losses valued at "&amp;A76&amp;""</f>
        <v xml:space="preserve">Real Losses valued at </v>
      </c>
      <c r="B99" s="46"/>
      <c r="C99" s="126">
        <f>IF(Dashboard!BO$2&gt;0,"",Worksheet!H51)</f>
        <v>53.608165440650339</v>
      </c>
      <c r="D99" s="939">
        <f>IF(Dashboard!BO$2&gt;0,"",Dashboard!N50)</f>
        <v>28795.626066445329</v>
      </c>
      <c r="E99" s="606">
        <f t="shared" si="0"/>
        <v>28795.626066445329</v>
      </c>
      <c r="F99" s="605"/>
    </row>
    <row r="100" spans="1:7">
      <c r="A100" t="s">
        <v>72</v>
      </c>
      <c r="B100"/>
      <c r="C100" s="122">
        <f>IF(Dashboard!BO$2&gt;0,"",Worksheet!H57)</f>
        <v>61.514553195752384</v>
      </c>
      <c r="D100" s="124">
        <f>IF(Dashboard!BO$2&gt;0,"",D98+D99+D90+D91)</f>
        <v>101160.91259909823</v>
      </c>
      <c r="E100" s="605">
        <f t="shared" si="0"/>
        <v>101160.91259909823</v>
      </c>
      <c r="F100"/>
      <c r="G100" s="129"/>
    </row>
    <row r="101" spans="1:7">
      <c r="A101" s="942"/>
    </row>
    <row r="102" spans="1:7">
      <c r="A102" s="942" t="s">
        <v>1272</v>
      </c>
      <c r="C102" s="943">
        <f>C95+C96</f>
        <v>3.6043877551020302</v>
      </c>
      <c r="D102" s="129">
        <f>D95+D96</f>
        <v>57444.941632652895</v>
      </c>
      <c r="E102" s="129">
        <f>E95+E96</f>
        <v>57444.941632652895</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- 550 Bangor</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176.01499999999999</v>
      </c>
      <c r="H12" s="362"/>
      <c r="I12" s="5"/>
      <c r="K12" s="898"/>
    </row>
    <row r="13" spans="2:16" ht="22.5" customHeight="1">
      <c r="B13" s="1133"/>
      <c r="C13" s="363"/>
      <c r="D13" s="360"/>
      <c r="E13" s="1142"/>
      <c r="F13" s="365">
        <f>Worksheet!H23+Worksheet!H24</f>
        <v>176.01499999999999</v>
      </c>
      <c r="G13" s="366" t="s">
        <v>1090</v>
      </c>
      <c r="H13" s="367">
        <f>SUM(G12+G14)</f>
        <v>176.01499999999999</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179.50099999999998</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0.6</v>
      </c>
      <c r="H16" s="1141"/>
      <c r="I16" s="5"/>
      <c r="K16" s="46"/>
    </row>
    <row r="17" spans="2:16" ht="22.5" customHeight="1">
      <c r="B17" s="377">
        <f>Worksheet!AG15</f>
        <v>237.52955319575236</v>
      </c>
      <c r="C17" s="378"/>
      <c r="D17" s="379"/>
      <c r="E17" s="250"/>
      <c r="F17" s="380">
        <f>Worksheet!H25+Worksheet!H26</f>
        <v>3.4860000000000002</v>
      </c>
      <c r="G17" s="364" t="s">
        <v>1092</v>
      </c>
      <c r="H17" s="362"/>
      <c r="I17" s="5"/>
      <c r="K17" s="46"/>
      <c r="L17" s="121"/>
      <c r="M17" s="121"/>
      <c r="N17" s="121"/>
      <c r="O17" s="121"/>
      <c r="P17" s="121"/>
    </row>
    <row r="18" spans="2:16" ht="15.75" customHeight="1">
      <c r="B18" s="375"/>
      <c r="C18" s="1154" t="s">
        <v>763</v>
      </c>
      <c r="D18" s="360"/>
      <c r="E18" s="381"/>
      <c r="F18" s="370"/>
      <c r="G18" s="382">
        <f>Worksheet!H26</f>
        <v>2.8860000000000001</v>
      </c>
      <c r="H18" s="362"/>
      <c r="I18" s="5"/>
      <c r="K18" s="46"/>
    </row>
    <row r="19" spans="2:16" ht="22.5" customHeight="1">
      <c r="B19" s="375"/>
      <c r="C19" s="1154"/>
      <c r="D19" s="383" t="s">
        <v>116</v>
      </c>
      <c r="E19" s="356"/>
      <c r="F19" s="384"/>
      <c r="G19" s="600" t="s">
        <v>695</v>
      </c>
      <c r="H19" s="385">
        <f>Worksheet!H25+Worksheet!H26+Worksheet!H46+Worksheet!H51</f>
        <v>61.514553195752377</v>
      </c>
      <c r="I19" s="5"/>
      <c r="K19" s="46"/>
      <c r="L19" s="121"/>
      <c r="M19" s="121"/>
      <c r="N19" s="121"/>
      <c r="O19" s="121"/>
      <c r="P19" s="121"/>
    </row>
    <row r="20" spans="2:16" ht="15.75" customHeight="1">
      <c r="B20" s="375"/>
      <c r="C20" s="386">
        <f>B17+B27</f>
        <v>237.52955319575236</v>
      </c>
      <c r="D20" s="360"/>
      <c r="E20" s="250"/>
      <c r="F20" s="387" t="s">
        <v>52</v>
      </c>
      <c r="G20" s="376">
        <f>Worksheet!H39</f>
        <v>0.53700000000000003</v>
      </c>
      <c r="H20" s="362"/>
      <c r="I20" s="5"/>
      <c r="K20" s="46"/>
    </row>
    <row r="21" spans="2:16" ht="14.25" customHeight="1">
      <c r="B21" s="388"/>
      <c r="C21" s="389"/>
      <c r="D21" s="386">
        <f>Worksheet!H19</f>
        <v>237.52955319575236</v>
      </c>
      <c r="E21" s="390"/>
      <c r="F21" s="380">
        <f>Worksheet!H46</f>
        <v>4.4203877551020385</v>
      </c>
      <c r="G21" s="364" t="s">
        <v>694</v>
      </c>
      <c r="H21" s="362"/>
      <c r="I21" s="5"/>
      <c r="K21" s="46"/>
      <c r="L21" s="121"/>
      <c r="M21" s="121"/>
      <c r="N21" s="121"/>
      <c r="O21" s="121"/>
      <c r="P21" s="121"/>
    </row>
    <row r="22" spans="2:16" ht="15.75" customHeight="1">
      <c r="B22" s="375"/>
      <c r="C22" s="359"/>
      <c r="D22" s="360"/>
      <c r="E22" s="250"/>
      <c r="F22" s="390"/>
      <c r="G22" s="391">
        <f>Worksheet!H41</f>
        <v>3.6043877551020387</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0.27900000000000003</v>
      </c>
      <c r="H24" s="362"/>
      <c r="I24" s="5"/>
      <c r="K24" s="46"/>
    </row>
    <row r="25" spans="2:16" ht="26.25" customHeight="1">
      <c r="B25" s="1132" t="s">
        <v>1087</v>
      </c>
      <c r="C25" s="363"/>
      <c r="D25" s="360"/>
      <c r="E25" s="393">
        <f>Worksheet!H53</f>
        <v>58.02855319575238</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53.608165440650339</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- 550 Bangor</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25.4">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55">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34.937113196246756</v>
      </c>
      <c r="AF98" s="40">
        <f t="shared" ref="AF98:AF103" si="0">AE98</f>
        <v>34.937113196246756</v>
      </c>
      <c r="AG98" s="40">
        <f>IF(AE98&lt;&gt;0,AF98/10,0)</f>
        <v>3.4937113196246754</v>
      </c>
      <c r="AH98" s="40">
        <f>IFERROR(AD98*AG98,0)</f>
        <v>34.937113196246756</v>
      </c>
      <c r="AI98" s="40">
        <f t="shared" ref="AI98:AI117" si="1">IF(AG98=0,0,AF98-AH98)</f>
        <v>0</v>
      </c>
      <c r="AJ98">
        <f t="array" aca="1" ref="AJ98" ca="1">SUM(1*(AI98&lt;$AI$98:$AI$117))+1+IF(ROW(AI98)-ROW($AI$98)=0,0,SUM(1*(AI98=OFFSET($AI$98,0,0,INDEX(ROW(AI98)-ROW($AI$98)+1,1)-1,1))))</f>
        <v>4</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6.2886803753244153E-2</v>
      </c>
      <c r="AF99" s="40">
        <f t="shared" si="0"/>
        <v>6.2886803753244153E-2</v>
      </c>
      <c r="AG99" s="40">
        <f t="shared" ref="AG99:AG117" si="3">IF(AE99&lt;&gt;0,AF99/10,0)</f>
        <v>6.2886803753244153E-3</v>
      </c>
      <c r="AH99" s="40">
        <f t="shared" ref="AH99:AH106" si="4">IFERROR(AD99*AG99,0)</f>
        <v>6.2886803753244153E-2</v>
      </c>
      <c r="AI99" s="40">
        <f t="shared" si="1"/>
        <v>0</v>
      </c>
      <c r="AJ99">
        <f t="array" aca="1" ref="AJ99" ca="1">SUM(1*(AI99&lt;$AI$98:$AI$117))+1+IF(ROW(AI99)-ROW($AI$98)=0,0,SUM(1*(AI99=OFFSET($AI$98,0,0,INDEX(ROW(AI99)-ROW($AI$98)+1,1)-1,1))))</f>
        <v>5</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8</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13.952438920816466</v>
      </c>
      <c r="AF104" s="75">
        <f t="shared" ref="AF104:AF117" si="8">AE104/$AE$120</f>
        <v>17.111481695340949</v>
      </c>
      <c r="AG104" s="75">
        <f t="shared" si="3"/>
        <v>1.7111481695340949</v>
      </c>
      <c r="AH104" s="75">
        <f t="shared" ref="AH104:AH117" si="9">AD104*AG104</f>
        <v>17.111481695340949</v>
      </c>
      <c r="AI104" s="75">
        <f t="shared" si="1"/>
        <v>0</v>
      </c>
      <c r="AJ104" s="76">
        <f t="array" aca="1" ref="AJ104" ca="1">SUM(1*(AI104&lt;$AI$98:$AI$117))+1+IF(ROW(AI104)-ROW($AI$98)=0,0,SUM(1*(AI104=OFFSET($AI$98,0,0,INDEX(ROW(AI104)-ROW($AI$98)+1,1)-1,1))))</f>
        <v>10</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4.7561079183534812E-2</v>
      </c>
      <c r="AF106" s="79">
        <f t="shared" si="8"/>
        <v>5.8329625413769112E-2</v>
      </c>
      <c r="AG106" s="79">
        <f t="shared" si="3"/>
        <v>5.8329625413769109E-3</v>
      </c>
      <c r="AH106" s="40">
        <f t="shared" si="4"/>
        <v>5.8329625413769112E-2</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2</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96.443396226415103</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79.2">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9.6">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79.2">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9.6">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6.4">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41DCBC-F461-49AC-8355-788872B9B849}"/>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2026-03-04T17:41:16Z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