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16" documentId="8_{357DC4E7-9D87-46E8-BAF1-52B519CDE9E8}" xr6:coauthVersionLast="47" xr6:coauthVersionMax="47" xr10:uidLastSave="{ED8972CF-D17D-4F45-A536-12A4439BC6F0}"/>
  <workbookProtection workbookPassword="FDB7" lockStructure="1"/>
  <bookViews>
    <workbookView xWindow="28680" yWindow="-120" windowWidth="29040" windowHeight="1572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<sst xmlns="http://schemas.openxmlformats.org/spreadsheetml/2006/main" count="2547" uniqueCount="1283">
  <si>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</si>
  <si>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</si>
  <si>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</si>
  <si>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</si>
  <si>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</si>
  <si>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</si>
  <si>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</si>
  <si>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</si>
  <si>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</si>
  <si>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</si>
  <si>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</si>
  <si>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</si>
  <si>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</si>
  <si>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</si>
  <si>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</si>
  <si>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</si>
  <si>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</si>
  <si>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</si>
  <si>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</si>
  <si>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</si>
  <si>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</si>
  <si>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</si>
  <si>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</si>
  <si>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</si>
  <si>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</si>
  <si>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</si>
  <si>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</si>
  <si>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</si>
  <si>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</si>
  <si>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</si>
  <si>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</si>
  <si>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</si>
  <si>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</si>
  <si>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</si>
  <si>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</si>
  <si>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</si>
  <si>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</si>
  <si>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</si>
  <si>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</si>
  <si>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</si>
  <si>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</si>
  <si>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</si>
  <si>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</si>
  <si>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</si>
  <si>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</si>
  <si>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</si>
  <si>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</si>
  <si>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</si>
  <si>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</si>
  <si>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</si>
  <si>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</si>
  <si>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</si>
  <si>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</si>
  <si>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</si>
  <si>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</si>
  <si>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</si>
  <si>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</si>
  <si>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</si>
  <si>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</si>
  <si>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</si>
  <si>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</si>
  <si>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</si>
  <si>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</si>
  <si>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</si>
  <si>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</si>
  <si>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</si>
  <si>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</si>
  <si>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</si>
  <si>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</si>
  <si>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</si>
  <si>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</si>
  <si>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</si>
  <si>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</si>
  <si>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</si>
  <si>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</si>
  <si>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</si>
  <si>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</si>
  <si>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</si>
  <si>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</si>
  <si>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</si>
  <si>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</si>
  <si>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</si>
  <si>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</si>
  <si>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</si>
  <si>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</si>
  <si>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</si>
  <si>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</si>
  <si>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</si>
  <si>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</si>
  <si>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</si>
  <si>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</si>
  <si>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</si>
  <si>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</si>
  <si>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</si>
  <si>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</si>
  <si>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</si>
  <si>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</si>
  <si>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</si>
  <si>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</si>
  <si>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</si>
  <si>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</si>
  <si>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</si>
  <si>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</si>
  <si>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</si>
  <si>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</si>
  <si>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</si>
  <si>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</si>
  <si>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</si>
  <si>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</si>
  <si>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</si>
  <si>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</si>
  <si>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</si>
  <si>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</si>
  <si>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</si>
  <si>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</si>
  <si>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</si>
  <si>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</si>
  <si>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</si>
  <si>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</si>
  <si>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</si>
  <si>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</si>
  <si>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</si>
  <si>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</si>
  <si>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</si>
  <si>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</si>
  <si>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</si>
  <si>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</si>
  <si>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</si>
  <si>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</si>
  <si>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</si>
  <si>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</si>
  <si>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</si>
  <si>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</si>
  <si>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</si>
  <si>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</si>
  <si>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</si>
  <si>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</si>
  <si>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</si>
  <si>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</si>
  <si>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</si>
  <si>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</si>
  <si>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</si>
  <si>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</si>
  <si>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</si>
  <si>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</si>
  <si>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</si>
  <si>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</si>
  <si>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</si>
  <si>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</si>
  <si>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</si>
  <si>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</si>
  <si>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</si>
  <si>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</si>
  <si>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</si>
  <si>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</si>
  <si>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</si>
  <si>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</si>
  <si>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</si>
  <si>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</si>
  <si>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</si>
  <si>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</si>
  <si>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</si>
  <si>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</si>
  <si>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</si>
  <si>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</si>
  <si>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</si>
  <si>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</si>
  <si>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</si>
  <si>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</si>
  <si>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</si>
  <si>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</si>
  <si>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</si>
  <si>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</si>
  <si>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</si>
  <si>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</si>
  <si>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</si>
  <si>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</si>
  <si>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</si>
  <si>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</si>
  <si>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</si>
  <si>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</si>
  <si>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</si>
  <si>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</si>
  <si>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</si>
  <si>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</si>
  <si>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</si>
  <si>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</si>
  <si>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</si>
  <si>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</si>
  <si>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</si>
  <si>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</si>
  <si>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</si>
  <si>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</si>
  <si>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</si>
  <si>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</si>
  <si>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</si>
  <si>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</si>
  <si>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</si>
  <si>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</si>
  <si>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</si>
  <si>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</si>
  <si>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</si>
  <si>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</si>
  <si>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</si>
  <si>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</si>
  <si>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</si>
  <si>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</si>
  <si>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</si>
  <si>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</si>
  <si>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</si>
  <si>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</si>
  <si>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</si>
  <si>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</si>
  <si>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</si>
  <si>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</si>
  <si>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</si>
  <si>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</si>
  <si>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</si>
  <si>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</si>
  <si>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</si>
  <si>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</si>
  <si>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</si>
  <si>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</si>
  <si>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</si>
  <si>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</si>
  <si>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</si>
  <si>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</si>
  <si>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</si>
  <si>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</si>
  <si>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</si>
  <si>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</si>
  <si>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</si>
  <si>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</si>
  <si>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</si>
  <si>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</si>
  <si>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</si>
  <si>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</si>
  <si>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</si>
  <si>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</si>
  <si>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</si>
  <si>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</si>
  <si>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</si>
  <si>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</si>
  <si>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</si>
  <si>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</si>
  <si>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</si>
  <si>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</si>
  <si>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</si>
  <si>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</si>
  <si>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</si>
  <si>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</si>
  <si>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</si>
  <si>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</si>
  <si>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</si>
  <si>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</si>
  <si>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</si>
  <si>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</si>
  <si>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</si>
  <si>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</si>
  <si>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</si>
  <si>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</si>
  <si>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</si>
  <si>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</si>
  <si>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</si>
  <si>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</si>
  <si>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</si>
  <si>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</si>
  <si>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</si>
  <si>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</si>
  <si>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</si>
  <si>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</si>
  <si>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</si>
  <si>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</si>
  <si>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</si>
  <si>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</si>
  <si>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</si>
  <si>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</si>
  <si>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</si>
  <si>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</si>
  <si>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</si>
  <si>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</si>
  <si>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</si>
  <si>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</si>
  <si>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</si>
  <si>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</si>
  <si>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</si>
  <si>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</si>
  <si>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</si>
  <si>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</si>
  <si>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</si>
  <si>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</si>
  <si>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</si>
  <si>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</si>
  <si>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</si>
  <si>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</si>
  <si>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</si>
  <si>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</si>
  <si>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</si>
  <si>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</si>
  <si>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</si>
  <si>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</si>
  <si>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</si>
  <si>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</si>
  <si>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</si>
  <si>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</si>
  <si>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</si>
  <si>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</si>
  <si>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</si>
  <si>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</si>
  <si>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</si>
  <si>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</si>
  <si>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</si>
  <si>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</si>
  <si>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</si>
  <si>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</si>
  <si>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</si>
  <si>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</si>
  <si>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</si>
  <si>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</si>
  <si>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</si>
  <si>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</si>
  <si>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</si>
  <si>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</si>
  <si>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</si>
  <si>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</si>
  <si>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</si>
  <si>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</si>
  <si>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</si>
  <si>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</si>
  <si>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</si>
  <si>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</si>
  <si>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</si>
  <si>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</si>
  <si>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</si>
  <si>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</si>
  <si>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</si>
  <si>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</si>
  <si>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</si>
  <si>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</si>
  <si>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</si>
  <si>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</si>
  <si>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</si>
  <si>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</si>
  <si>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</si>
  <si>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</si>
  <si>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</si>
  <si>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</si>
  <si>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</si>
  <si>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</si>
  <si>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</si>
  <si>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</si>
  <si>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</si>
  <si>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</si>
  <si>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</si>
  <si>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</si>
  <si>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</si>
  <si>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</si>
  <si>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</si>
  <si>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</si>
  <si>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</si>
  <si>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</si>
  <si>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</si>
  <si>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</si>
  <si>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</si>
  <si>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</si>
  <si>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</si>
  <si>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</si>
  <si>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</si>
  <si>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</si>
  <si>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</si>
  <si>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</si>
  <si>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</si>
  <si>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</si>
  <si>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</si>
  <si>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</si>
  <si>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</si>
  <si>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</si>
  <si>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</si>
  <si>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</si>
  <si>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</si>
  <si>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</si>
  <si>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</si>
  <si>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</si>
  <si>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</si>
  <si>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</si>
  <si>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</si>
  <si>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</si>
  <si>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</si>
  <si>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</si>
  <si>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</si>
  <si>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</si>
  <si>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</si>
  <si>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</si>
  <si>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</si>
  <si>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</si>
  <si>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</si>
  <si>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</si>
  <si>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</si>
  <si>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</si>
  <si>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</si>
  <si>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</si>
  <si>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</si>
  <si>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</si>
  <si>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</si>
  <si>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</si>
  <si>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</si>
  <si>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</si>
  <si>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</si>
  <si>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</si>
  <si>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</si>
  <si>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</si>
  <si>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</si>
  <si>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</si>
  <si>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</si>
  <si>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</si>
  <si>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</si>
  <si>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</si>
  <si>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</si>
  <si>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</si>
  <si>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</si>
  <si>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</si>
  <si>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</si>
  <si>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</si>
  <si>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</si>
  <si>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</si>
  <si>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</si>
  <si>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</si>
  <si>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</si>
  <si>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</si>
  <si>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</si>
  <si>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</si>
  <si>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</si>
  <si>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</si>
  <si>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</si>
  <si>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</si>
  <si>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</si>
  <si>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</si>
  <si>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</si>
  <si>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</si>
  <si>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</si>
  <si>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</si>
  <si>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</si>
  <si>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</si>
  <si>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</si>
  <si>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</si>
  <si>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</si>
  <si>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</si>
  <si>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</si>
  <si>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</si>
  <si>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</si>
  <si>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</si>
  <si>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</si>
  <si>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</si>
  <si>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</si>
  <si>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</si>
  <si>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</si>
  <si>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</si>
  <si>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</si>
  <si>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</si>
  <si>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</si>
  <si>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</si>
  <si>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</si>
  <si>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</si>
  <si>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</si>
  <si>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</si>
  <si>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</si>
  <si>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</si>
  <si>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</si>
  <si>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</si>
  <si>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</si>
  <si>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</si>
  <si>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</si>
  <si>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</si>
  <si>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</si>
  <si>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</si>
  <si>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</si>
  <si>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</si>
  <si>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</si>
  <si>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</si>
  <si>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</si>
  <si>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</si>
  <si>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</si>
  <si>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</si>
  <si>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</si>
  <si>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</si>
  <si>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</si>
  <si>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</si>
  <si>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</si>
  <si>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</si>
  <si>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</si>
  <si>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</si>
  <si>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</si>
  <si>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</si>
  <si>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</si>
  <si>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</si>
  <si>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</si>
  <si>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</si>
  <si>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</si>
  <si>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</si>
  <si>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</si>
  <si>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</si>
  <si>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</si>
  <si>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</si>
  <si>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</si>
  <si>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</si>
  <si>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</si>
  <si>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</si>
  <si>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</si>
  <si>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</si>
  <si>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</si>
  <si>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</si>
  <si>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</si>
  <si>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</si>
  <si>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</si>
  <si>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</si>
  <si>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</si>
  <si>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</si>
  <si>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</si>
  <si>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</si>
  <si>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</si>
  <si>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</si>
  <si>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</si>
  <si>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</si>
  <si>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</si>
  <si>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</si>
  <si>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</si>
  <si>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</si>
  <si>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</si>
  <si>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</si>
  <si>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</si>
  <si>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</si>
  <si>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</si>
  <si>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</si>
  <si>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</si>
  <si>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</si>
  <si>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</si>
  <si>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</si>
  <si>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</si>
  <si>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</si>
  <si>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</si>
  <si>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</si>
  <si>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</si>
  <si>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</si>
  <si>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</si>
  <si>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</si>
  <si>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</si>
  <si>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</si>
  <si>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</si>
  <si>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</si>
  <si>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</si>
  <si>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</si>
  <si>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</si>
  <si>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</si>
  <si>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</si>
  <si>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</si>
  <si>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</si>
  <si>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</si>
  <si>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</si>
  <si>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</si>
  <si>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</si>
  <si>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</si>
  <si>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</si>
  <si>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</si>
  <si>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</si>
  <si>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</si>
  <si>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</si>
  <si>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</si>
  <si>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</si>
  <si>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</si>
  <si>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</si>
  <si>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</si>
  <si>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</si>
  <si>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</si>
  <si>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</si>
  <si>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</si>
  <si>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</si>
  <si>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</si>
  <si>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</si>
  <si>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</si>
  <si>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</si>
  <si>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</si>
  <si>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</si>
  <si>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</si>
  <si>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</si>
  <si>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</si>
  <si>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</si>
  <si>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</si>
  <si>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</si>
  <si>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</si>
  <si>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</si>
  <si>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</si>
  <si>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</si>
  <si>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</si>
  <si>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</si>
  <si>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</si>
  <si>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</si>
  <si>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</si>
  <si>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</si>
  <si>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</si>
  <si>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</si>
  <si>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</si>
  <si>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</si>
  <si>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</si>
  <si>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</si>
  <si>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</si>
  <si>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</si>
  <si>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</si>
  <si>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</si>
  <si>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</si>
  <si>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</si>
  <si>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</si>
  <si>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</si>
  <si>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</si>
  <si>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</si>
  <si>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</si>
  <si>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</si>
  <si>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</si>
  <si>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</si>
  <si>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</si>
  <si>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</si>
  <si>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</si>
  <si>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</si>
  <si>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</si>
  <si>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</si>
  <si>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</si>
  <si>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</si>
  <si>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</si>
  <si>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</si>
  <si>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</si>
  <si>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</si>
  <si>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</si>
  <si>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</si>
  <si>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</si>
  <si>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</si>
  <si>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</si>
  <si>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</si>
  <si>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</si>
  <si>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</si>
  <si>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</si>
  <si>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</si>
  <si>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</si>
  <si>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</si>
  <si>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</si>
  <si>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</si>
  <si>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</si>
  <si>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</si>
  <si>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</si>
  <si>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</si>
  <si>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</si>
  <si>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</si>
  <si>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</si>
  <si>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</si>
  <si>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</si>
  <si>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</si>
  <si>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</si>
  <si>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</si>
  <si>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</si>
  <si>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</si>
  <si>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</si>
  <si>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</si>
  <si>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</si>
  <si>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</si>
  <si>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</si>
  <si>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</si>
  <si>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</si>
  <si>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</si>
  <si>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</si>
  <si>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</si>
  <si>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</si>
  <si>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</si>
  <si>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</si>
  <si>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</si>
  <si>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</si>
  <si>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</si>
  <si>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</si>
  <si>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</si>
  <si>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</si>
  <si>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</si>
  <si>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</si>
  <si>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</si>
  <si>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</si>
  <si>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</si>
  <si>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</si>
  <si>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</si>
  <si>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</si>
  <si>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</si>
  <si>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</si>
  <si>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</si>
  <si>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</si>
  <si>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</si>
  <si>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</si>
  <si>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</si>
  <si>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</si>
  <si>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</si>
  <si>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</si>
  <si>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</si>
  <si>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</si>
  <si>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</si>
  <si>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</si>
  <si>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</si>
  <si>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</si>
  <si>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</si>
  <si>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</si>
  <si>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</si>
  <si>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</si>
  <si>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</si>
  <si>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</si>
  <si>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</si>
  <si>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</si>
  <si>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</si>
  <si>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</si>
  <si>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</si>
  <si>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</si>
  <si>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</si>
  <si>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</si>
  <si>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</si>
  <si>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</si>
  <si>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</si>
  <si>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</si>
  <si>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</si>
  <si>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</si>
  <si>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</si>
  <si>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</si>
  <si>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</si>
  <si>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</si>
  <si>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</si>
  <si>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</si>
  <si>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</si>
  <si>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</si>
  <si>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</si>
  <si>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</si>
  <si>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</si>
  <si>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</si>
  <si>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</si>
  <si>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</si>
  <si>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</si>
  <si>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</si>
  <si>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</si>
  <si>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</si>
  <si>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</si>
  <si>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</si>
  <si>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</si>
  <si>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</si>
  <si>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</si>
  <si>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</si>
  <si>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</si>
  <si>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</si>
  <si>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</si>
  <si>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</si>
  <si>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</si>
  <si>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</si>
  <si>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</si>
  <si>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</si>
  <si>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</si>
  <si>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</si>
  <si>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</si>
  <si>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</si>
  <si>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</si>
  <si>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</si>
  <si>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</si>
  <si>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</si>
  <si>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</si>
  <si>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</si>
  <si>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</si>
  <si>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</si>
  <si>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</si>
  <si>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</si>
  <si>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</si>
  <si>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</si>
  <si>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</si>
  <si>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</si>
  <si>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</si>
  <si>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</si>
  <si>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</si>
  <si>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</si>
  <si>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</si>
  <si>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</si>
  <si>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</si>
  <si>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</si>
  <si>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</si>
  <si>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</si>
  <si>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</si>
  <si>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</si>
  <si>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</si>
  <si>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</si>
  <si>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</si>
  <si>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</si>
  <si>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</si>
  <si>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</si>
  <si>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</si>
  <si>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</si>
  <si>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</si>
  <si>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</si>
  <si>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</si>
  <si>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</si>
  <si>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</si>
  <si>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</si>
  <si>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</si>
  <si>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</si>
  <si>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</si>
  <si>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</si>
  <si>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</si>
  <si>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</si>
  <si>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</si>
  <si>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</si>
  <si>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</si>
  <si>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</si>
  <si>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</si>
  <si>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</si>
  <si>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</si>
  <si>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</si>
  <si>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</si>
  <si>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</si>
  <si>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</si>
  <si>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</si>
  <si>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</si>
  <si>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</si>
  <si>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</si>
  <si>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</si>
  <si>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</si>
  <si>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</si>
  <si>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</si>
  <si>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</si>
  <si>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</si>
  <si>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</si>
  <si>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</si>
  <si>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</si>
  <si>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</si>
  <si>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</si>
  <si>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</si>
  <si>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</si>
  <si>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</si>
  <si>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</si>
  <si>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</si>
  <si>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</si>
  <si>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</si>
  <si>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</si>
  <si>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</si>
  <si>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</si>
  <si>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</si>
  <si>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</si>
  <si>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</si>
  <si>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</si>
  <si>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</si>
  <si>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</si>
  <si>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</si>
  <si>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</si>
  <si>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</si>
  <si>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</si>
  <si>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</si>
  <si>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</si>
  <si>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</si>
  <si>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</si>
  <si>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</si>
  <si>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</si>
  <si>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</si>
  <si>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</si>
  <si>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</si>
  <si>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</si>
  <si>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</si>
  <si>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</si>
  <si>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</si>
  <si>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</si>
  <si>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</si>
  <si>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</si>
  <si>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</si>
  <si>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</si>
  <si>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</si>
  <si>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</si>
  <si>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</si>
  <si>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</si>
  <si>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</si>
  <si>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</si>
  <si>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</si>
  <si>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</si>
  <si>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</si>
  <si>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</si>
  <si>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</si>
  <si>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</si>
  <si>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</si>
  <si>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</si>
  <si>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</si>
  <si>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</si>
  <si>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</si>
  <si>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</si>
  <si>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</si>
  <si>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</si>
  <si>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</si>
  <si>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</si>
  <si>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</si>
  <si>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</si>
  <si>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</si>
  <si>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</si>
  <si>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</si>
  <si>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</si>
  <si>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</si>
  <si>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</si>
  <si>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</si>
  <si>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</si>
  <si>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</si>
  <si>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</si>
  <si>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</si>
  <si>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</si>
  <si>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</si>
  <si>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</si>
  <si>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</si>
  <si>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</si>
  <si>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</si>
  <si>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</si>
  <si>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</si>
  <si>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</si>
  <si>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</si>
  <si>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</si>
  <si>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</si>
  <si>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</si>
  <si>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</si>
  <si>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</si>
  <si>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</si>
  <si>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</si>
  <si>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</si>
  <si>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</si>
  <si>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</si>
  <si>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</si>
  <si>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</si>
  <si>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</si>
  <si>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</si>
  <si>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</si>
  <si>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</si>
  <si>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</si>
  <si>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</si>
  <si>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</si>
  <si>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</si>
  <si>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</si>
  <si>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</si>
  <si>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</si>
  <si>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</si>
  <si>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</si>
  <si>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</si>
  <si>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</si>
  <si>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</si>
  <si>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</si>
  <si>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</si>
  <si>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</si>
  <si>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</si>
  <si>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</si>
  <si>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</si>
  <si>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</si>
  <si>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</si>
  <si>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</si>
  <si>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</si>
  <si>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</si>
  <si>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</si>
  <si>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</si>
  <si>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</si>
  <si>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</si>
  <si>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</si>
  <si>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</si>
  <si>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</si>
  <si>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</si>
  <si>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</si>
  <si>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</si>
  <si>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</si>
  <si>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</si>
  <si>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</si>
  <si>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</si>
  <si>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</si>
  <si>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</si>
  <si>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</si>
  <si>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</si>
  <si>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</si>
  <si>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</si>
  <si>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</si>
  <si>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</si>
  <si>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</si>
  <si>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</si>
  <si>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</si>
  <si>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</si>
  <si>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</si>
  <si>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</si>
  <si>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</si>
  <si>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</si>
  <si>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</si>
  <si>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</si>
  <si>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</si>
  <si>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</si>
  <si>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</si>
  <si>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</si>
  <si>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</si>
  <si>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</si>
  <si>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</si>
  <si>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</si>
  <si>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</si>
  <si>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</si>
  <si>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</si>
  <si>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</si>
  <si>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</si>
  <si>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</si>
  <si>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</si>
  <si>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</si>
  <si>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</si>
  <si>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</si>
  <si>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</si>
  <si>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</si>
  <si>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</si>
  <si>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</si>
  <si>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</si>
  <si>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</si>
  <si>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</si>
  <si>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</si>
  <si>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</si>
  <si>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</si>
  <si>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</si>
  <si>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</si>
  <si>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</si>
  <si>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</si>
  <si>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</si>
  <si>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</si>
  <si>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</si>
  <si>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</si>
  <si>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</si>
  <si>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</si>
  <si>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</si>
  <si>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</si>
  <si>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</si>
  <si>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</si>
  <si>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</si>
  <si>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</si>
  <si>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</si>
  <si>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</si>
  <si>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</si>
  <si>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</si>
  <si>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</si>
  <si>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</si>
  <si>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</si>
  <si>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</si>
  <si>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</si>
  <si>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</si>
  <si>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</si>
  <si>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</si>
  <si>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</si>
  <si>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</si>
  <si>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</si>
  <si>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</si>
  <si>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</si>
  <si>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</si>
  <si>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</si>
  <si>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</si>
  <si>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</si>
  <si>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</si>
  <si>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</si>
  <si>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</si>
  <si>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</si>
  <si>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</si>
  <si>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</si>
  <si>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</si>
  <si>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</si>
  <si>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</si>
  <si>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</si>
  <si>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</si>
  <si>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</si>
  <si>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</si>
  <si>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</si>
  <si>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</si>
  <si>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</si>
  <si>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</si>
  <si>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</si>
  <si>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</si>
  <si>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</si>
  <si>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</si>
  <si>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</si>
  <si>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</si>
  <si>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</si>
  <si>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</si>
  <si>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</si>
  <si>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</si>
  <si>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</si>
  <si>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</si>
  <si>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</si>
  <si>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</si>
  <si>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</si>
  <si>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</si>
  <si>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</si>
  <si>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</si>
  <si>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</si>
  <si>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</si>
  <si>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</si>
  <si>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</si>
  <si>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</si>
  <si>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</si>
  <si>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</si>
  <si>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</si>
  <si>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</si>
  <si>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</si>
  <si>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</si>
  <si>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</si>
  <si>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</si>
  <si>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</si>
  <si>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</si>
  <si>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</si>
  <si>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</si>
  <si>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</si>
  <si>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</si>
  <si>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</si>
  <si>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</si>
  <si>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</si>
  <si>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</si>
  <si>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</si>
  <si>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</si>
  <si>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</si>
  <si>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</si>
  <si>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</si>
  <si>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</si>
  <si>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</si>
  <si>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</si>
  <si>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</si>
  <si>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</si>
  <si>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</si>
  <si>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</si>
  <si>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</si>
  <si>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</si>
  <si>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</si>
  <si>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</si>
  <si>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</si>
  <si>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</si>
  <si>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</si>
  <si>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</si>
  <si>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</si>
  <si>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</si>
  <si>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</si>
  <si>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</si>
  <si>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</si>
  <si>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</si>
  <si>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</si>
  <si>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</si>
  <si>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</si>
  <si>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</si>
  <si>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</si>
  <si>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</si>
  <si>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</si>
  <si>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</si>
  <si>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</si>
  <si>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</si>
  <si>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</si>
  <si>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</si>
  <si>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</si>
  <si>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</si>
  <si>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</si>
  <si>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</si>
  <si>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</si>
  <si>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</si>
  <si>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</si>
  <si>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</si>
  <si>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</si>
  <si>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</si>
  <si>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</si>
  <si>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</si>
  <si>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</si>
  <si>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</si>
  <si>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</si>
  <si>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</si>
  <si>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</si>
  <si>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</si>
  <si>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</si>
  <si>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</si>
  <si>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</si>
  <si>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</si>
  <si>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</si>
  <si>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</si>
  <si>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</si>
  <si>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</si>
  <si>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</si>
  <si>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</si>
  <si>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</si>
  <si>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</si>
  <si>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</si>
  <si>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</si>
  <si>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</si>
  <si>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</si>
  <si>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</si>
  <si>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</si>
  <si>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</si>
  <si>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</si>
  <si>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</si>
  <si>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</si>
  <si>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</si>
  <si>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</si>
  <si>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</si>
  <si>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</si>
  <si>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</si>
  <si>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</si>
  <si>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</si>
  <si>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</si>
  <si>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</si>
  <si>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</si>
  <si>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</si>
  <si>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</si>
  <si>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</si>
  <si>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</si>
  <si>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</si>
  <si>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</si>
  <si>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</si>
  <si>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</si>
  <si>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</si>
  <si>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</si>
  <si>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</si>
  <si>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</si>
  <si>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</si>
  <si>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</si>
  <si>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</si>
  <si>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</si>
  <si>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</si>
  <si>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</si>
  <si>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</si>
  <si>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</si>
  <si>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</si>
  <si>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</si>
  <si>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</si>
  <si>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</si>
  <si>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</si>
  <si>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</si>
  <si>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</si>
  <si>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</si>
  <si>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</si>
  <si>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</si>
  <si>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</si>
  <si>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</si>
  <si>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</si>
  <si>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</si>
  <si>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</si>
  <si>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</si>
  <si>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</si>
  <si>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</si>
  <si>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</si>
  <si>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</si>
  <si>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</si>
  <si>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</si>
  <si>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</si>
  <si>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</si>
  <si>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</si>
  <si>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</si>
  <si>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</si>
  <si>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</si>
  <si>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</si>
  <si>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</si>
  <si>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</si>
  <si>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</si>
  <si>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</si>
  <si>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</si>
  <si>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</si>
  <si>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</si>
  <si>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</si>
  <si>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</si>
  <si>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</si>
  <si>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</si>
  <si>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</si>
  <si>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</si>
  <si>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</si>
  <si>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</si>
  <si>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</si>
  <si>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</si>
  <si>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</si>
  <si>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</si>
  <si>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</si>
  <si>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</si>
  <si>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</si>
  <si>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</si>
  <si>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</si>
  <si>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</si>
  <si>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</si>
  <si>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</si>
  <si>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</si>
  <si>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</si>
  <si>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</si>
  <si>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</si>
  <si>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</si>
  <si>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- 560 Nazareth</t>
  </si>
  <si>
    <t>James Baer</t>
  </si>
  <si>
    <t>james.baer@amwater.com</t>
  </si>
  <si>
    <t>610-842-3118</t>
  </si>
  <si>
    <t>Nazareth</t>
  </si>
  <si>
    <t>USA</t>
  </si>
  <si>
    <t>Calendar</t>
  </si>
  <si>
    <t>3480055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</si>
</sst>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27.586267115163356</c:v>
                </c:pt>
                <c:pt idx="1">
                  <c:v>2.0024160337996988</c:v>
                </c:pt>
                <c:pt idx="2">
                  <c:v>220.71332107599929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3.7676621162883976</c:v>
                </c:pt>
                <c:pt idx="1">
                  <c:v>0.26113598867139654</c:v>
                </c:pt>
                <c:pt idx="2">
                  <c:v>28.613200478964774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26.144105554714884</c:v>
                </c:pt>
                <c:pt idx="1">
                  <c:v>0.92482240795754933</c:v>
                </c:pt>
                <c:pt idx="2">
                  <c:v>88.533873032021233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21.860327063806722</c:v>
                </c:pt>
                <c:pt idx="1">
                  <c:v>0.38772920688421864</c:v>
                </c:pt>
                <c:pt idx="2">
                  <c:v>26.218094589836387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4.2837784909081611</c:v>
                </c:pt>
                <c:pt idx="1">
                  <c:v>0.56875750335916142</c:v>
                </c:pt>
                <c:pt idx="2">
                  <c:v>66.242151925627851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93</c:v>
                </c:pt>
                <c:pt idx="1">
                  <c:v>1.2666666666666666</c:v>
                </c:pt>
                <c:pt idx="2" formatCode="General">
                  <c:v>105.73333333333333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120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4.367</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8.1359999999999992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0.57399999999999995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13.509979591836721</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0.63200000000000001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93.03225561393073</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$285,929/Yr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2151.79558</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4008.9326399999995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9178.26</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214643.41990979575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10105.68</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45840.713631208229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42.565808526427517</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0.97307454141409278</c:v>
                </c:pt>
                <c:pt idx="1">
                  <c:v>9.0856271993300333E-2</c:v>
                </c:pt>
                <c:pt idx="2">
                  <c:v>10.29310318575515</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23.818604998874957</c:v>
                </c:pt>
                <c:pt idx="1">
                  <c:v>1.8469276802355887</c:v>
                </c:pt>
                <c:pt idx="2">
                  <c:v>205.20042735033803</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1606.0673729865214</c:v>
                </c:pt>
                <c:pt idx="1">
                  <c:v>97.186039594358903</c:v>
                </c:pt>
                <c:pt idx="2" formatCode="_(* #,##0_);_(* \(#,##0\);_(* &quot;-&quot;??_);_(@_)">
                  <c:v>10445.001536713982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82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82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825"/>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826"/>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827"/>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828"/>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829"/>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830"/>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831"/>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832"/>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833"/>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34"/>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35"/>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36"/>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37"/>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38"/>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839"/>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840"/>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841"/>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7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893946" cy="3758429"/>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79.2">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Z21" sqref="Z21"/>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95"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1275</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1276</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1277</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1278</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1279</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1280</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46085</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1281</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1282</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27</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27</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39194</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opLeftCell="B1" zoomScale="110" zoomScaleNormal="110" workbookViewId="0">
      <pane ySplit="9" topLeftCell="A38" activePane="bottomLeft" state="frozen"/>
      <selection pane="bottomLeft" activeCell="C79" sqref="C79:Q79"/>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- 560 Nazareth</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776.86199999999997</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1.2999999999999999E-3</v>
      </c>
      <c r="P15" s="580" t="s">
        <v>787</v>
      </c>
      <c r="Q15" s="1033"/>
      <c r="R15" s="1063"/>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1.0099205999999998</v>
      </c>
      <c r="Y15" s="103">
        <f>$Y$19/$Y$18*H15</f>
        <v>34.954559073204834</v>
      </c>
      <c r="Z15" s="147">
        <f>$Y$19/$Y$18*ABS(X15)</f>
        <v>4.544092679516628E-2</v>
      </c>
      <c r="AA15" s="896">
        <f>IF(W15=1,input_VOS-input_VOS/(1+O15*AB15),Q15*AB15)</f>
        <v>-1.0112352057674343</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777.8732352057674</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63"/>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63"/>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777.87192059999995</v>
      </c>
      <c r="Z18" s="148"/>
      <c r="AF18" s="264">
        <f>SUM(AF15:AF17)</f>
        <v>0</v>
      </c>
      <c r="AG18" s="46" t="s">
        <v>1199</v>
      </c>
    </row>
    <row r="19" spans="1:33" ht="13.8" thickBot="1">
      <c r="A19" s="91"/>
      <c r="B19" s="561"/>
      <c r="C19" s="1036" t="s">
        <v>109</v>
      </c>
      <c r="D19" s="1036"/>
      <c r="E19" s="1036"/>
      <c r="F19" s="1036"/>
      <c r="G19" s="265"/>
      <c r="H19" s="868">
        <f>IF(AF18&gt;0,"Select under/over",IF(H15&gt;0,IF(W15=1,H15/(1+O15*AB15),H15-Q15*AB15),0)+IF(H16&gt;0,IF(W16=1,H16/(1+O16*AB16),H16-Q16*AB16),0)-IF(H17&gt;0,IF(W17=1,H17/(1+O17*AB17),H17-Q17*AB17),0))</f>
        <v>777.8732352057674</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9</v>
      </c>
      <c r="G23" s="94"/>
      <c r="H23" s="321">
        <v>657.62199999999996</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13.907644991079913</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9.23550089200878E-2</v>
      </c>
      <c r="Z24" s="146"/>
    </row>
    <row r="25" spans="1:33" ht="13.35" customHeight="1">
      <c r="A25" s="91"/>
      <c r="B25" s="562" t="s">
        <v>919</v>
      </c>
      <c r="C25" s="529" t="s">
        <v>483</v>
      </c>
      <c r="D25" s="841" t="s">
        <v>881</v>
      </c>
      <c r="E25" s="577" t="s">
        <v>882</v>
      </c>
      <c r="F25" s="492">
        <f>'Interactive Data Grading'!D224</f>
        <v>10</v>
      </c>
      <c r="G25" s="94"/>
      <c r="H25" s="501">
        <v>4.367</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661.98899999999992</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8.1359999999999992</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8.1359999999999992</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670.12499999999989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107.74823520576751</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10</v>
      </c>
      <c r="G39" s="204"/>
      <c r="H39" s="499">
        <f>IF(OR(W39=1,AND(W39=2,Q39=0)),O39*SUM(H23:H24),Q39)</f>
        <v>0.63200000000000001</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0.63200000000000001</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4</v>
      </c>
      <c r="G41" s="204"/>
      <c r="H41" s="602">
        <f>IF(OR(T41="Select…..",T41=""),"Select under/over",IF(W41=1,((H23+H25)/(1-(O41*X41)))-(H23+H25),Q41*X41))</f>
        <v>13.509979591836782</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0.57399999999999995</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0.57399999999999995</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14.715979591836781</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13.42085714285713</v>
      </c>
      <c r="Y50" s="135">
        <f>IFERROR(IF(W41=1,((H25)/(1-(O41*X41)))-(H25),Q41*H25/(H23+H25)),0)</f>
        <v>8.9122448979591873E-2</v>
      </c>
      <c r="Z50" s="923">
        <f>SUM(X50:Y50)</f>
        <v>13.509979591836721</v>
      </c>
      <c r="AA50" s="1031"/>
      <c r="AB50" s="1031"/>
      <c r="AC50" s="1031"/>
    </row>
    <row r="51" spans="1:29">
      <c r="A51" s="91"/>
      <c r="B51" s="562"/>
      <c r="C51" s="1037" t="s">
        <v>662</v>
      </c>
      <c r="D51" s="1037"/>
      <c r="E51" s="1037"/>
      <c r="F51" s="1037"/>
      <c r="G51" s="869"/>
      <c r="H51" s="868">
        <f>IFERROR(H35-H46,"")</f>
        <v>93.03225561393073</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214599.50571428554</v>
      </c>
      <c r="Y51" s="940">
        <f>Y50*input_VPC</f>
        <v>43.914195510204102</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107.74823520576751</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120.25123520576751</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158.69999999999999</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10701</v>
      </c>
      <c r="I62" s="291"/>
      <c r="J62" s="292"/>
      <c r="K62" s="101"/>
      <c r="L62" s="101"/>
      <c r="M62" s="292" t="s">
        <v>902</v>
      </c>
      <c r="N62" s="101"/>
      <c r="U62" s="256"/>
      <c r="V62" s="91"/>
    </row>
    <row r="63" spans="1:29">
      <c r="A63" s="91"/>
      <c r="B63" s="562"/>
      <c r="C63" s="529" t="s">
        <v>165</v>
      </c>
      <c r="D63" s="53"/>
      <c r="E63" s="512"/>
      <c r="F63" s="273"/>
      <c r="G63" s="53"/>
      <c r="H63" s="500">
        <f>IF(ISERROR(H62/H61),"",H62/H61)</f>
        <v>67.429111531190927</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19.5</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19.5</v>
      </c>
      <c r="X67" s="54" t="s">
        <v>130</v>
      </c>
      <c r="Y67" s="54"/>
      <c r="Z67" s="54"/>
    </row>
    <row r="68" spans="1:26">
      <c r="A68" s="91"/>
      <c r="B68" s="562" t="s">
        <v>915</v>
      </c>
      <c r="C68" s="529" t="s">
        <v>487</v>
      </c>
      <c r="D68" s="841" t="s">
        <v>881</v>
      </c>
      <c r="E68" s="577" t="s">
        <v>882</v>
      </c>
      <c r="F68" s="492">
        <f>'Interactive Data Grading'!D422</f>
        <v>8</v>
      </c>
      <c r="G68" s="53"/>
      <c r="H68" s="325">
        <v>94.9</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492.74</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4108022</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Billed Metered (BMAC)</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Unauthorized Consumption (UC)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16" activePane="bottomLeft" state="frozen"/>
      <selection activeCell="B15" sqref="B15:F17"/>
      <selection pane="bottomLeft" activeCell="D320" sqref="D320"/>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- 560 Nazareth</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83"/>
      <c r="O270" s="1083"/>
    </row>
    <row r="271" spans="1:18" ht="27.6" customHeight="1">
      <c r="A271" s="215"/>
      <c r="B271" s="215"/>
      <c r="C271" s="328" t="s">
        <v>313</v>
      </c>
      <c r="D271" s="895">
        <f>IFERROR((IF(D266=SDHE!A3,3,H271)),"")</f>
        <v>10</v>
      </c>
      <c r="E271" s="753"/>
      <c r="F271" s="327"/>
      <c r="H271" s="821">
        <f>MIN(H267:H270)</f>
        <v>10</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3"/>
      <c r="O292" s="1083"/>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855</v>
      </c>
      <c r="E294" s="753" t="str">
        <f t="shared" si="17"/>
        <v>Limiting</v>
      </c>
      <c r="F294" s="327"/>
      <c r="G294" s="810">
        <f t="shared" si="16"/>
        <v>1</v>
      </c>
      <c r="H294" s="818">
        <f>VLOOKUP('Interactive Data Grading'!D294,CMI!$F$6:$J$16,5,FALSE)</f>
        <v>4</v>
      </c>
      <c r="I294" s="818">
        <f>H294</f>
        <v>4</v>
      </c>
    </row>
    <row r="295" spans="1:18" ht="29.4"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t="e">
        <f>IF(OR(D294=CMI!F23,D294=CMI!F24),X,H295)</f>
        <v>#NAME?</v>
      </c>
      <c r="J295" s="810" t="s">
        <v>525</v>
      </c>
    </row>
    <row r="296" spans="1:18" ht="29.4" customHeight="1">
      <c r="A296" s="215"/>
      <c r="B296" s="555" t="s">
        <v>526</v>
      </c>
      <c r="C296" s="884" t="str">
        <f>CMI!B40</f>
        <v>Which best describes how the input was derived?</v>
      </c>
      <c r="D296" s="329" t="s">
        <v>857</v>
      </c>
      <c r="E296" s="753" t="str">
        <f t="shared" si="17"/>
        <v/>
      </c>
      <c r="F296" s="327"/>
      <c r="G296" s="810">
        <f t="shared" si="16"/>
        <v>1</v>
      </c>
      <c r="H296" s="818">
        <f>VLOOKUP('Interactive Data Grading'!D296,CMI!$H$6:$J$16,3,FALSE)</f>
        <v>6</v>
      </c>
      <c r="I296" s="818">
        <f>H296</f>
        <v>6</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748</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4</v>
      </c>
      <c r="E300" s="753"/>
      <c r="F300" s="327"/>
      <c r="G300" s="810">
        <f>MIN(G290:G299)</f>
        <v>1</v>
      </c>
      <c r="H300" s="821">
        <f t="array" ref="H300">MIN(IF(ISNUMBER(H291:H297),H291:H297))</f>
        <v>4</v>
      </c>
      <c r="I300" s="821">
        <f t="array" ref="I300">MIN(IF(ISNUMBER(I290:I299),I290:I299))</f>
        <v>4</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- 560 Nazareth</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93</v>
      </c>
      <c r="BS6" s="710"/>
      <c r="BT6" s="709"/>
      <c r="BU6" s="711"/>
      <c r="BV6" s="711"/>
      <c r="BW6" s="711"/>
      <c r="BX6" s="58"/>
      <c r="BY6" s="58"/>
    </row>
    <row r="7" spans="1:77" s="244" customFormat="1" ht="12.9" customHeight="1">
      <c r="A7" s="243"/>
      <c r="B7" s="335"/>
      <c r="C7" s="58"/>
      <c r="D7" s="247"/>
      <c r="E7" s="852"/>
      <c r="F7" s="247"/>
      <c r="G7" s="247"/>
      <c r="H7" s="678"/>
      <c r="I7" s="792" t="s">
        <v>237</v>
      </c>
      <c r="J7" s="1109">
        <f>BR6</f>
        <v>93</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93</v>
      </c>
      <c r="BT8" s="483"/>
      <c r="BU8" s="241"/>
      <c r="BV8" s="241"/>
      <c r="BW8" s="241"/>
    </row>
    <row r="9" spans="1:77" ht="12.9"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105.73333333333333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
      </c>
      <c r="AC14" s="1094"/>
      <c r="AD14" s="1094"/>
      <c r="AE14" s="1094"/>
      <c r="AF14" s="682"/>
      <c r="AG14" s="619"/>
      <c r="AH14" s="680"/>
      <c r="AI14" s="680"/>
      <c r="AJ14" s="247"/>
      <c r="AK14" s="247"/>
      <c r="AL14" s="1094" t="str">
        <f>IF(BS22&lt;0,"negative result check inputs",IF($BS$23=0,"result is below 10th %ile",IF($BS$22&gt;$BS$23,"result is above 90th %ile","")))</f>
        <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26.144105554714884</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26.144105554714884</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26.144105554714884</v>
      </c>
      <c r="AB18" s="1102"/>
      <c r="AC18" s="1102"/>
      <c r="AD18" s="871" t="str">
        <f>BD13</f>
        <v>$/conn/year</v>
      </c>
      <c r="AE18" s="872"/>
      <c r="AF18" s="873"/>
      <c r="AG18" s="873"/>
      <c r="AH18" s="874"/>
      <c r="AI18" s="874"/>
      <c r="AJ18" s="872"/>
      <c r="AK18" s="1102">
        <f>BS22</f>
        <v>21.860327063806722</v>
      </c>
      <c r="AL18" s="1102"/>
      <c r="AM18" s="1102"/>
      <c r="AN18" s="871" t="str">
        <f>BD13</f>
        <v>$/conn/year</v>
      </c>
      <c r="AO18" s="872"/>
      <c r="AP18" s="872"/>
      <c r="AQ18" s="872"/>
      <c r="AR18" s="872"/>
      <c r="AS18" s="872"/>
      <c r="AT18" s="872"/>
      <c r="AU18" s="1102">
        <f>BS29</f>
        <v>4.2837784909081611</v>
      </c>
      <c r="AV18" s="1102"/>
      <c r="AW18" s="1102"/>
      <c r="AX18" s="871" t="str">
        <f>BD13</f>
        <v>$/conn/year</v>
      </c>
      <c r="AY18" s="701"/>
      <c r="AZ18" s="247"/>
      <c r="BA18" s="247"/>
      <c r="BB18" s="342"/>
      <c r="BC18" s="109"/>
      <c r="BD18" s="58" t="s">
        <v>706</v>
      </c>
      <c r="BE18" s="234">
        <f>(((5.41*Worksheet!H61)+(0.15*Worksheet!H62)+(7.5*(Worksheet!H62*Worksheet!W67/5280)))*Worksheet!H68)/1000000*365</f>
        <v>95.606504593917606</v>
      </c>
      <c r="BN18" s="659"/>
      <c r="BO18" s="716" t="s">
        <v>1039</v>
      </c>
      <c r="BP18" s="718">
        <f>BQ18-BQ17</f>
        <v>8.9525318444022357</v>
      </c>
      <c r="BQ18" s="900">
        <f t="shared" si="0"/>
        <v>18.283980813778896</v>
      </c>
      <c r="BR18" s="716" t="s">
        <v>779</v>
      </c>
      <c r="BS18" s="720">
        <f>SUM(BP16:BP20)-SUM(BS16,BS17)</f>
        <v>88.533873032021233</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293.40520433845927</v>
      </c>
      <c r="BF19" s="233">
        <f>BE19*325851.427242/Worksheet!H62/365</f>
        <v>24.477677695956622</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576.18157179375009</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21.860327063806722</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21.860327063806722</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26.218094589836387</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27.586267115163356</v>
      </c>
      <c r="AB29" s="1103"/>
      <c r="AC29" s="1103"/>
      <c r="AD29" s="870" t="str">
        <f>BD10</f>
        <v>gal/conn/day</v>
      </c>
      <c r="AE29" s="870"/>
      <c r="AF29" s="875"/>
      <c r="AG29" s="875"/>
      <c r="AH29" s="700"/>
      <c r="AI29" s="700"/>
      <c r="AJ29" s="700"/>
      <c r="AK29" s="1103">
        <f>BS43</f>
        <v>3.7676621162883976</v>
      </c>
      <c r="AL29" s="1103"/>
      <c r="AM29" s="1103"/>
      <c r="AN29" s="871" t="str">
        <f>BD10</f>
        <v>gal/conn/day</v>
      </c>
      <c r="AO29" s="700"/>
      <c r="AP29" s="700"/>
      <c r="AQ29" s="700"/>
      <c r="AR29" s="700"/>
      <c r="AS29" s="700"/>
      <c r="AT29" s="700"/>
      <c r="AU29" s="1098">
        <f>BS55</f>
        <v>23.818604998874957</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4.2837784909081611</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4.2837784909081611</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94.9</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66.242151925627851</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27.586267115163356</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
      </c>
      <c r="AJ37" s="1094"/>
      <c r="AK37" s="1094"/>
      <c r="AL37" s="1094"/>
      <c r="AM37" s="247"/>
      <c r="AN37" s="247"/>
      <c r="AO37" s="247"/>
      <c r="AP37" s="247"/>
      <c r="AQ37" s="247"/>
      <c r="AR37" s="247"/>
      <c r="AS37" s="247"/>
      <c r="AT37" s="1094" t="str">
        <f>IF(BS69&lt;0,"negative result check inputs",IF($BS$70=0,"result is below 10th %ile",IF($BS$69&gt;$BS$70,"result is above 90th %ile","")))</f>
        <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27.586267115163356</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220.71332107599929</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0.97307454141409278</v>
      </c>
      <c r="AI41" s="1097"/>
      <c r="AJ41" s="1097"/>
      <c r="AK41" s="870" t="s">
        <v>1048</v>
      </c>
      <c r="AL41" s="799"/>
      <c r="AM41" s="800"/>
      <c r="AN41" s="796"/>
      <c r="AO41" s="796"/>
      <c r="AP41" s="796"/>
      <c r="AQ41" s="796"/>
      <c r="AR41" s="796"/>
      <c r="AS41" s="1096">
        <f>BS69</f>
        <v>1606.0673729865214</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95.606504593917606</v>
      </c>
      <c r="AL43" s="1095"/>
      <c r="AM43" s="1095"/>
      <c r="AN43" s="1095"/>
      <c r="AO43" s="916" t="str">
        <f>BD7</f>
        <v>MG/Yr</v>
      </c>
      <c r="AP43" s="700"/>
      <c r="AQ43" s="700"/>
      <c r="AR43" s="700"/>
      <c r="AS43" s="1095">
        <f>IF(BG19=1,BF19,IFERROR(AK43*1000000/Worksheet!H62/365,""))</f>
        <v>24.477677695956622</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3.7676621162883976</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3.7676621162883976</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28.613200478964774</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14.715979591836781</v>
      </c>
      <c r="J49" s="1090"/>
      <c r="K49" s="1090"/>
      <c r="L49" s="1090"/>
      <c r="M49" s="683"/>
      <c r="N49" s="1091">
        <f>IF(OR(ISBLANK('Start Page'!$AB$22),ISBLANK(Worksheet!J76)),"",(SUM(Worksheet!H43+Worksheet!H39+Worksheet!X50)*Worksheet!H76)*INDEX(Sheet1!B2:D4,MATCH('Start Page'!AB22,Sheet1!A2:A4,0),MATCH(Worksheet!J76,Sheet1!B1:D1,0))+Worksheet!Y50*Worksheet!H77)</f>
        <v>233927.35990979572</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93.03225561393073</v>
      </c>
      <c r="J50" s="1090"/>
      <c r="K50" s="1090"/>
      <c r="L50" s="1090"/>
      <c r="M50" s="683"/>
      <c r="N50" s="1091">
        <f>IFERROR(IF(Worksheet!H41="Select under/over","",IF(ISBLANK('Start Page'!AB22),"",Worksheet!H51*(IF(BD29=FALSE,Worksheet!H77,IF(BD29=TRUE,Worksheet!H76*INDEX(Sheet1!B2:D4,MATCH('Start Page'!AB22,Sheet1!A2:A4,0),MATCH(Worksheet!J76,Sheet1!B1:D1,0)),""))))),"")</f>
        <v>45840.713631208229</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12.503</v>
      </c>
      <c r="J51" s="1090"/>
      <c r="K51" s="1090"/>
      <c r="L51" s="1090"/>
      <c r="M51" s="683"/>
      <c r="N51" s="1091">
        <f>IFERROR(IF(SUM(Sheet1!D90:D91)=0,"",SUM(Sheet1!D90:D91)),"")</f>
        <v>6160.7282199999991</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120.25123520576751</v>
      </c>
      <c r="J52" s="1090"/>
      <c r="K52" s="1090"/>
      <c r="L52" s="1090"/>
      <c r="M52" s="683"/>
      <c r="N52" s="1091">
        <f>IF(SUM(N49:N51)=0,"",SUM(N49:N51))</f>
        <v>285928.80176100397</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23.818604998874957</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23.818604998874957</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205.20042735033803</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0.97307454141409278</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0.97307454141409278</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10.29310318575515</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1606.0673729865214</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1606.0673729865214</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10445.001536713982</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42.565808526427517</v>
      </c>
      <c r="BQ83" s="733">
        <f>BP83+BQ78</f>
        <v>94.9</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- 560 Nazareth</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30"/>
      <c r="H7" s="1130"/>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4" t="s">
        <v>1137</v>
      </c>
      <c r="G10" s="1127"/>
      <c r="H10" s="1127"/>
    </row>
    <row r="11" spans="2:21" ht="28.95"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5" customHeight="1">
      <c r="B12" s="538"/>
      <c r="C12" s="518"/>
      <c r="D12" s="538"/>
      <c r="F12" s="1126"/>
      <c r="G12" s="1129"/>
      <c r="H12" s="1129"/>
      <c r="J12" s="838"/>
      <c r="K12" s="838"/>
      <c r="L12" s="838"/>
      <c r="M12" s="838"/>
      <c r="N12" s="838"/>
      <c r="O12" s="838"/>
      <c r="P12" s="838"/>
      <c r="Q12" s="838"/>
      <c r="R12" s="838"/>
      <c r="S12" s="838"/>
      <c r="T12" s="838"/>
      <c r="U12" s="838"/>
    </row>
    <row r="13" spans="2:21" ht="28.95" customHeight="1">
      <c r="B13" s="538"/>
      <c r="C13" s="518"/>
      <c r="D13" s="538"/>
      <c r="F13" s="1124" t="s">
        <v>1138</v>
      </c>
      <c r="G13" s="1127"/>
      <c r="H13" s="1127"/>
      <c r="J13" s="838"/>
      <c r="K13" s="838"/>
      <c r="L13" s="838"/>
      <c r="M13" s="838"/>
      <c r="N13" s="838"/>
      <c r="O13" s="838"/>
      <c r="P13" s="838"/>
      <c r="Q13" s="838"/>
      <c r="R13" s="838"/>
      <c r="S13" s="838"/>
      <c r="T13" s="838"/>
      <c r="U13" s="838"/>
    </row>
    <row r="14" spans="2:21" ht="28.95" customHeight="1">
      <c r="B14" s="845" t="s">
        <v>1154</v>
      </c>
      <c r="C14" s="518"/>
      <c r="D14" s="845" t="s">
        <v>1155</v>
      </c>
      <c r="F14" s="1125"/>
      <c r="G14" s="1128"/>
      <c r="H14" s="1128"/>
    </row>
    <row r="15" spans="2:21" ht="28.95" customHeight="1">
      <c r="B15" s="846"/>
      <c r="C15" s="518"/>
      <c r="D15" s="846"/>
      <c r="F15" s="1126"/>
      <c r="G15" s="1129"/>
      <c r="H15" s="1129"/>
    </row>
    <row r="16" spans="2:21" ht="28.95" customHeight="1">
      <c r="B16" s="538"/>
      <c r="C16" s="518"/>
      <c r="D16" s="538"/>
      <c r="F16" s="1124" t="s">
        <v>1139</v>
      </c>
      <c r="G16" s="1121"/>
      <c r="H16" s="1121"/>
    </row>
    <row r="17" spans="2:8" ht="28.95" customHeight="1">
      <c r="B17" s="845" t="s">
        <v>1154</v>
      </c>
      <c r="C17" s="518"/>
      <c r="D17" s="845" t="s">
        <v>1155</v>
      </c>
      <c r="F17" s="1125"/>
      <c r="G17" s="1122"/>
      <c r="H17" s="1122"/>
    </row>
    <row r="18" spans="2:8" ht="28.95" customHeight="1">
      <c r="B18" s="538"/>
      <c r="C18" s="518"/>
      <c r="D18" s="538"/>
      <c r="F18" s="1126"/>
      <c r="G18" s="1123"/>
      <c r="H18" s="1123"/>
    </row>
    <row r="19" spans="2:8" ht="28.95" customHeight="1">
      <c r="B19" s="538"/>
      <c r="C19" s="518"/>
      <c r="D19" s="538"/>
      <c r="F19" s="1124" t="s">
        <v>1140</v>
      </c>
      <c r="G19" s="1121"/>
      <c r="H19" s="1121"/>
    </row>
    <row r="20" spans="2:8" ht="28.95" customHeight="1">
      <c r="B20" s="845" t="s">
        <v>1154</v>
      </c>
      <c r="C20" s="518"/>
      <c r="D20" s="845" t="s">
        <v>1155</v>
      </c>
      <c r="F20" s="1125"/>
      <c r="G20" s="1122"/>
      <c r="H20" s="1122"/>
    </row>
    <row r="21" spans="2:8" ht="28.95" customHeight="1">
      <c r="B21" s="538"/>
      <c r="C21" s="518"/>
      <c r="D21" s="538"/>
      <c r="F21" s="1126"/>
      <c r="G21" s="1123"/>
      <c r="H21" s="1123"/>
    </row>
    <row r="22" spans="2:8" ht="28.95" customHeight="1">
      <c r="B22" s="538"/>
      <c r="C22" s="518"/>
      <c r="D22" s="538"/>
      <c r="F22" s="1124" t="s">
        <v>1131</v>
      </c>
      <c r="G22" s="1121"/>
      <c r="H22" s="1121"/>
    </row>
    <row r="23" spans="2:8" ht="28.95" customHeight="1">
      <c r="B23" s="845" t="s">
        <v>1154</v>
      </c>
      <c r="C23" s="518"/>
      <c r="D23" s="845" t="s">
        <v>1155</v>
      </c>
      <c r="F23" s="1125"/>
      <c r="G23" s="1122"/>
      <c r="H23" s="1122"/>
    </row>
    <row r="24" spans="2:8" ht="28.95" customHeight="1">
      <c r="B24" s="538"/>
      <c r="C24" s="518"/>
      <c r="D24" s="538"/>
      <c r="F24" s="1126"/>
      <c r="G24" s="1123"/>
      <c r="H24" s="1123"/>
    </row>
    <row r="25" spans="2:8" ht="28.95" customHeight="1">
      <c r="B25" s="538"/>
      <c r="C25" s="518"/>
      <c r="D25" s="538"/>
      <c r="F25" s="1124" t="s">
        <v>1141</v>
      </c>
      <c r="G25" s="1118"/>
      <c r="H25" s="1118"/>
    </row>
    <row r="26" spans="2:8" ht="28.95" customHeight="1">
      <c r="B26" s="845" t="s">
        <v>1154</v>
      </c>
      <c r="C26" s="518"/>
      <c r="D26" s="845" t="s">
        <v>1155</v>
      </c>
      <c r="F26" s="1125"/>
      <c r="G26" s="1119"/>
      <c r="H26" s="1119"/>
    </row>
    <row r="27" spans="2:8" ht="28.95" customHeight="1">
      <c r="B27" s="538"/>
      <c r="C27" s="518"/>
      <c r="D27" s="538"/>
      <c r="F27" s="1126"/>
      <c r="G27" s="1120"/>
      <c r="H27" s="1120"/>
    </row>
    <row r="28" spans="2:8" ht="28.95" customHeight="1">
      <c r="B28" s="538"/>
      <c r="C28" s="518"/>
      <c r="D28" s="538"/>
      <c r="F28" s="1124" t="s">
        <v>1142</v>
      </c>
      <c r="G28" s="1121"/>
      <c r="H28" s="1121"/>
    </row>
    <row r="29" spans="2:8" ht="28.95" customHeight="1">
      <c r="B29" s="845" t="s">
        <v>1154</v>
      </c>
      <c r="C29" s="518"/>
      <c r="D29" s="845" t="s">
        <v>1155</v>
      </c>
      <c r="F29" s="1125"/>
      <c r="G29" s="1122"/>
      <c r="H29" s="1122"/>
    </row>
    <row r="30" spans="2:8" ht="28.95" customHeight="1">
      <c r="B30" s="538"/>
      <c r="C30" s="518"/>
      <c r="D30" s="538"/>
      <c r="F30" s="1126"/>
      <c r="G30" s="1123"/>
      <c r="H30" s="1123"/>
    </row>
    <row r="31" spans="2:8" ht="28.95" customHeight="1">
      <c r="B31" s="538"/>
      <c r="C31" s="518"/>
      <c r="D31" s="538"/>
      <c r="F31" s="1124" t="s">
        <v>1143</v>
      </c>
      <c r="G31" s="1121"/>
      <c r="H31" s="1121"/>
    </row>
    <row r="32" spans="2:8" ht="28.95" customHeight="1">
      <c r="B32" s="845" t="s">
        <v>1154</v>
      </c>
      <c r="C32" s="518"/>
      <c r="D32" s="845" t="s">
        <v>1155</v>
      </c>
      <c r="F32" s="1125"/>
      <c r="G32" s="1122"/>
      <c r="H32" s="1122"/>
    </row>
    <row r="33" spans="2:8" ht="28.95" customHeight="1">
      <c r="B33" s="538"/>
      <c r="C33" s="518"/>
      <c r="D33" s="538"/>
      <c r="F33" s="1126"/>
      <c r="G33" s="1123"/>
      <c r="H33" s="1123"/>
    </row>
    <row r="34" spans="2:8" ht="28.95" customHeight="1">
      <c r="B34" s="538"/>
      <c r="C34" s="518"/>
      <c r="D34" s="538"/>
      <c r="F34" s="1124" t="s">
        <v>1144</v>
      </c>
      <c r="G34" s="1118"/>
      <c r="H34" s="1118"/>
    </row>
    <row r="35" spans="2:8" ht="28.95" customHeight="1">
      <c r="B35" s="845" t="s">
        <v>1154</v>
      </c>
      <c r="C35" s="518"/>
      <c r="D35" s="845" t="s">
        <v>1155</v>
      </c>
      <c r="F35" s="1125"/>
      <c r="G35" s="1119"/>
      <c r="H35" s="1119"/>
    </row>
    <row r="36" spans="2:8" ht="28.95" customHeight="1">
      <c r="B36" s="538"/>
      <c r="C36" s="518"/>
      <c r="D36" s="538"/>
      <c r="F36" s="1126"/>
      <c r="G36" s="1120"/>
      <c r="H36" s="1120"/>
    </row>
    <row r="37" spans="2:8" ht="28.95" customHeight="1">
      <c r="B37" s="538"/>
      <c r="C37" s="518"/>
      <c r="D37" s="538"/>
      <c r="F37" s="1124" t="s">
        <v>1145</v>
      </c>
      <c r="G37" s="1118"/>
      <c r="H37" s="1118"/>
    </row>
    <row r="38" spans="2:8" ht="28.95" customHeight="1">
      <c r="B38" s="845" t="s">
        <v>1154</v>
      </c>
      <c r="C38" s="518"/>
      <c r="D38" s="845" t="s">
        <v>1155</v>
      </c>
      <c r="F38" s="1125"/>
      <c r="G38" s="1119"/>
      <c r="H38" s="1119"/>
    </row>
    <row r="39" spans="2:8" ht="28.95" customHeight="1">
      <c r="B39" s="538"/>
      <c r="C39" s="518"/>
      <c r="D39" s="538"/>
      <c r="F39" s="1126"/>
      <c r="G39" s="1120"/>
      <c r="H39" s="1120"/>
    </row>
    <row r="40" spans="2:8" ht="28.95" customHeight="1">
      <c r="B40" s="538"/>
      <c r="C40" s="518"/>
      <c r="D40" s="538"/>
      <c r="F40" s="1124" t="s">
        <v>1146</v>
      </c>
      <c r="G40" s="1118"/>
      <c r="H40" s="1118"/>
    </row>
    <row r="41" spans="2:8" ht="28.95" customHeight="1">
      <c r="B41" s="845" t="s">
        <v>1154</v>
      </c>
      <c r="C41" s="518"/>
      <c r="D41" s="845" t="s">
        <v>1155</v>
      </c>
      <c r="F41" s="1125"/>
      <c r="G41" s="1119"/>
      <c r="H41" s="1119"/>
    </row>
    <row r="42" spans="2:8" ht="28.95" customHeight="1">
      <c r="B42" s="538"/>
      <c r="C42" s="518"/>
      <c r="D42" s="538"/>
      <c r="F42" s="1126"/>
      <c r="G42" s="1120"/>
      <c r="H42" s="1120"/>
    </row>
    <row r="43" spans="2:8" ht="28.95" customHeight="1">
      <c r="B43" s="538"/>
      <c r="C43" s="518"/>
      <c r="D43" s="538"/>
      <c r="F43" s="1124" t="s">
        <v>1147</v>
      </c>
      <c r="G43" s="1118"/>
      <c r="H43" s="1118"/>
    </row>
    <row r="44" spans="2:8" ht="28.95" customHeight="1">
      <c r="B44" s="845" t="s">
        <v>1154</v>
      </c>
      <c r="C44" s="518"/>
      <c r="D44" s="845" t="s">
        <v>1155</v>
      </c>
      <c r="F44" s="1125"/>
      <c r="G44" s="1119"/>
      <c r="H44" s="1119"/>
    </row>
    <row r="45" spans="2:8" ht="28.95" customHeight="1">
      <c r="B45" s="538"/>
      <c r="C45" s="518"/>
      <c r="D45" s="538"/>
      <c r="F45" s="1126"/>
      <c r="G45" s="1120"/>
      <c r="H45" s="1120"/>
    </row>
    <row r="46" spans="2:8" ht="28.95" customHeight="1">
      <c r="B46" s="538"/>
      <c r="C46" s="518"/>
      <c r="D46" s="538"/>
      <c r="F46" s="1124" t="s">
        <v>1148</v>
      </c>
      <c r="G46" s="1118"/>
      <c r="H46" s="1118"/>
    </row>
    <row r="47" spans="2:8" ht="28.95" customHeight="1">
      <c r="B47" s="845" t="s">
        <v>1154</v>
      </c>
      <c r="C47" s="518"/>
      <c r="D47" s="845" t="s">
        <v>1155</v>
      </c>
      <c r="F47" s="1125"/>
      <c r="G47" s="1119"/>
      <c r="H47" s="1119"/>
    </row>
    <row r="48" spans="2:8" ht="28.95" customHeight="1">
      <c r="B48" s="538"/>
      <c r="C48" s="518"/>
      <c r="D48" s="538"/>
      <c r="F48" s="1126"/>
      <c r="G48" s="1120"/>
      <c r="H48" s="1120"/>
    </row>
    <row r="49" spans="2:8" ht="28.95" customHeight="1">
      <c r="B49" s="538"/>
      <c r="C49" s="518"/>
      <c r="D49" s="538"/>
      <c r="F49" s="1124" t="s">
        <v>1125</v>
      </c>
      <c r="G49" s="1118"/>
      <c r="H49" s="1118"/>
    </row>
    <row r="50" spans="2:8" ht="28.95" customHeight="1">
      <c r="B50" s="845" t="s">
        <v>1154</v>
      </c>
      <c r="C50" s="518"/>
      <c r="D50" s="845" t="s">
        <v>1155</v>
      </c>
      <c r="F50" s="1125"/>
      <c r="G50" s="1119"/>
      <c r="H50" s="1119"/>
    </row>
    <row r="51" spans="2:8" ht="28.95" customHeight="1">
      <c r="B51" s="538"/>
      <c r="C51" s="518"/>
      <c r="D51" s="538"/>
      <c r="F51" s="1126"/>
      <c r="G51" s="1120"/>
      <c r="H51" s="1120"/>
    </row>
    <row r="52" spans="2:8" ht="28.95" customHeight="1">
      <c r="B52" s="538"/>
      <c r="C52" s="518"/>
      <c r="D52" s="538"/>
      <c r="F52" s="1124" t="s">
        <v>1149</v>
      </c>
      <c r="G52" s="1118"/>
      <c r="H52" s="1118"/>
    </row>
    <row r="53" spans="2:8" ht="28.95" customHeight="1">
      <c r="B53" s="845" t="s">
        <v>1154</v>
      </c>
      <c r="C53" s="518"/>
      <c r="D53" s="845" t="s">
        <v>1155</v>
      </c>
      <c r="F53" s="1125"/>
      <c r="G53" s="1119"/>
      <c r="H53" s="1119"/>
    </row>
    <row r="54" spans="2:8" ht="28.95" customHeight="1">
      <c r="B54" s="538"/>
      <c r="C54" s="518"/>
      <c r="D54" s="538"/>
      <c r="F54" s="1126"/>
      <c r="G54" s="1120"/>
      <c r="H54" s="1120"/>
    </row>
    <row r="55" spans="2:8" ht="28.95" customHeight="1">
      <c r="B55" s="538"/>
      <c r="C55" s="518"/>
      <c r="D55" s="538"/>
      <c r="F55" s="1124" t="s">
        <v>1150</v>
      </c>
      <c r="G55" s="1118"/>
      <c r="H55" s="1118"/>
    </row>
    <row r="56" spans="2:8" ht="28.95" customHeight="1">
      <c r="B56" s="845" t="s">
        <v>1154</v>
      </c>
      <c r="C56" s="518"/>
      <c r="D56" s="845" t="s">
        <v>1155</v>
      </c>
      <c r="F56" s="1125"/>
      <c r="G56" s="1119"/>
      <c r="H56" s="1119"/>
    </row>
    <row r="57" spans="2:8" ht="28.95" customHeight="1">
      <c r="B57" s="538"/>
      <c r="C57" s="518"/>
      <c r="D57" s="538"/>
      <c r="F57" s="1126"/>
      <c r="G57" s="1120"/>
      <c r="H57" s="1120"/>
    </row>
    <row r="58" spans="2:8" ht="28.95" customHeight="1">
      <c r="B58" s="538"/>
      <c r="C58" s="518"/>
      <c r="D58" s="538"/>
      <c r="F58" s="1124" t="s">
        <v>1151</v>
      </c>
      <c r="G58" s="1118"/>
      <c r="H58" s="1118"/>
    </row>
    <row r="59" spans="2:8" ht="28.95" customHeight="1">
      <c r="B59" s="845" t="s">
        <v>1154</v>
      </c>
      <c r="C59" s="518"/>
      <c r="D59" s="845" t="s">
        <v>1155</v>
      </c>
      <c r="F59" s="1125"/>
      <c r="G59" s="1119"/>
      <c r="H59" s="1119"/>
    </row>
    <row r="60" spans="2:8" ht="28.95" customHeight="1">
      <c r="B60" s="538"/>
      <c r="C60" s="518"/>
      <c r="D60" s="538"/>
      <c r="F60" s="1126"/>
      <c r="G60" s="1120"/>
      <c r="H60" s="1120"/>
    </row>
    <row r="61" spans="2:8" ht="28.95" customHeight="1">
      <c r="B61" s="538"/>
      <c r="C61" s="518"/>
      <c r="D61" s="538"/>
      <c r="F61" s="1124" t="s">
        <v>1152</v>
      </c>
      <c r="G61" s="1118"/>
      <c r="H61" s="1118"/>
    </row>
    <row r="62" spans="2:8" ht="28.95" customHeight="1">
      <c r="B62" s="845" t="s">
        <v>1154</v>
      </c>
      <c r="C62" s="518"/>
      <c r="D62" s="845" t="s">
        <v>1155</v>
      </c>
      <c r="F62" s="1125"/>
      <c r="G62" s="1119"/>
      <c r="H62" s="1119"/>
    </row>
    <row r="63" spans="2:8" ht="28.95" customHeight="1">
      <c r="B63" s="538"/>
      <c r="C63" s="518"/>
      <c r="D63" s="538"/>
      <c r="F63" s="1126"/>
      <c r="G63" s="1120"/>
      <c r="H63" s="1120"/>
    </row>
    <row r="64" spans="2:8" ht="28.95" customHeight="1">
      <c r="B64" s="538"/>
      <c r="C64" s="518"/>
      <c r="D64" s="538"/>
      <c r="F64" s="1124" t="s">
        <v>1153</v>
      </c>
      <c r="G64" s="1118"/>
      <c r="H64" s="1118"/>
    </row>
    <row r="65" spans="2:8" ht="28.95" customHeight="1">
      <c r="B65" s="845" t="s">
        <v>1154</v>
      </c>
      <c r="C65" s="518"/>
      <c r="D65" s="845" t="s">
        <v>1155</v>
      </c>
      <c r="F65" s="1125"/>
      <c r="G65" s="1119"/>
      <c r="H65" s="1119"/>
    </row>
    <row r="66" spans="2:8" ht="28.95"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120 MG/Yr</v>
      </c>
    </row>
    <row r="79" spans="1:6" ht="13.8">
      <c r="B79" s="52"/>
      <c r="C79" s="52"/>
      <c r="D79" s="52"/>
      <c r="E79" s="9" t="str">
        <f>IFERROR("Total Cost of NRW = $"&amp;TEXT(SUM(D90,D91,D94,D95,D96,D97,D99),"#,###")&amp;"/Yr","")</f>
        <v>Total Cost of NRW = $285,929/Yr</v>
      </c>
      <c r="F79" s="52"/>
    </row>
    <row r="80" spans="1:6">
      <c r="A80"/>
      <c r="B80"/>
      <c r="C80" s="53" t="str">
        <f>"Volume ("&amp;Worksheet!J15&amp;")"</f>
        <v>Volume (MG/Yr)</v>
      </c>
      <c r="D80" s="53" t="s">
        <v>147</v>
      </c>
      <c r="E80" s="94" t="s">
        <v>1085</v>
      </c>
      <c r="F80"/>
    </row>
    <row r="81" spans="1:6">
      <c r="A81" s="46" t="s">
        <v>127</v>
      </c>
      <c r="B81" s="46"/>
      <c r="C81" s="122">
        <f>IF(Dashboard!BO$2&gt;0,"",Worksheet!H15)</f>
        <v>776.86199999999997</v>
      </c>
      <c r="D81" s="123">
        <f>IF(Dashboard!BO$2&gt;0,"",C81*(Worksheet!$H$77))</f>
        <v>382790.98187999998</v>
      </c>
      <c r="E81" s="605">
        <f>D81</f>
        <v>382790.98187999998</v>
      </c>
      <c r="F81" s="84" t="s">
        <v>1084</v>
      </c>
    </row>
    <row r="82" spans="1:6">
      <c r="A82" s="46" t="str">
        <f>A81&amp;" MA"</f>
        <v>Vol. from own sources: MA</v>
      </c>
      <c r="B82" s="46"/>
      <c r="C82" s="122">
        <f>IF(Dashboard!BO$2&gt;0,"",Worksheet!X15)</f>
        <v>1.0099205999999998</v>
      </c>
      <c r="D82" s="123">
        <f>IF(Dashboard!BO$2&gt;0,"",C82*(Worksheet!$H$77))</f>
        <v>497.62827644399994</v>
      </c>
      <c r="E82" s="605">
        <f t="shared" ref="E82:E100" si="0">D82</f>
        <v>497.62827644399994</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777.8732352057674</v>
      </c>
      <c r="D87" s="123">
        <f>IF(Dashboard!BO$2&gt;0,"",C87*(Worksheet!$H$77))</f>
        <v>383289.25791528984</v>
      </c>
      <c r="E87" s="605">
        <f t="shared" si="0"/>
        <v>383289.25791528984</v>
      </c>
      <c r="F87"/>
    </row>
    <row r="88" spans="1:6">
      <c r="A88" s="158" t="s">
        <v>1269</v>
      </c>
      <c r="B88"/>
      <c r="C88" s="122">
        <f>IF(Dashboard!BO$2&gt;0,"",Worksheet!H23)</f>
        <v>657.62199999999996</v>
      </c>
      <c r="D88" s="123">
        <f>IF(Dashboard!BO$2&gt;0,"",C88*(Worksheet!$H$76*1000))</f>
        <v>10515375.779999999</v>
      </c>
      <c r="E88" s="605">
        <f t="shared" si="0"/>
        <v>10515375.779999999</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4.367</v>
      </c>
      <c r="D90" s="951">
        <f>IF(Dashboard!BO$2&gt;0,"",IF(ISBLANK('Start Page'!AB22),"",IF(AND(ISBLANK(Worksheet!H77),Worksheet!Z77&lt;&gt;1),"",Worksheet!H25*(IF(Dashboard!BD29=FALSE,Worksheet!H77,IF(Dashboard!BD29=TRUE,Worksheet!H76*INDEX(Sheet1!B2:D4,MATCH('Start Page'!AB22,Sheet1!A2:A4,0),MATCH(Worksheet!J76,Sheet1!B1:D1,0)),""))))))</f>
        <v>2151.79558</v>
      </c>
      <c r="E90" s="952">
        <f t="shared" si="0"/>
        <v>2151.79558</v>
      </c>
      <c r="F90"/>
    </row>
    <row r="91" spans="1:6">
      <c r="A91" s="953" t="str">
        <f>"Unbilled Unmetered (UUAC) valued at "&amp;A76&amp;""</f>
        <v xml:space="preserve">Unbilled Unmetered (UUAC) valued at </v>
      </c>
      <c r="B91" s="949"/>
      <c r="C91" s="950">
        <f>IF(Dashboard!BO$2&gt;0,"",Worksheet!H26)</f>
        <v>8.1359999999999992</v>
      </c>
      <c r="D91" s="951">
        <f>IF(Dashboard!BO$2&gt;0,"",IF(ISBLANK('Start Page'!AB22),"",IF(AND(ISBLANK(Worksheet!H77),Worksheet!Z77&lt;&gt;1),"",Worksheet!H26*(IF(Dashboard!BD29=FALSE,Worksheet!H77,IF(Dashboard!BD29=TRUE,Worksheet!H76*INDEX(Sheet1!B2:D4,MATCH('Start Page'!AB22,Sheet1!A2:A4,0),MATCH(Worksheet!J76,Sheet1!B1:D1,0)),""))))))</f>
        <v>4008.9326399999995</v>
      </c>
      <c r="E91" s="952">
        <f t="shared" si="0"/>
        <v>4008.9326399999995</v>
      </c>
      <c r="F91"/>
    </row>
    <row r="92" spans="1:6">
      <c r="A92" s="158" t="s">
        <v>2</v>
      </c>
      <c r="B92" s="125" t="s">
        <v>239</v>
      </c>
      <c r="C92" s="122">
        <f>IF(Dashboard!BO$2&gt;0,"",Worksheet!H30)</f>
        <v>670.12499999999989</v>
      </c>
      <c r="D92" s="123">
        <f>IF(Dashboard!BO$2&gt;0,"",C92*(Worksheet!$H$76*1000))</f>
        <v>10715298.749999998</v>
      </c>
      <c r="E92" s="605">
        <f t="shared" si="0"/>
        <v>10715298.749999998</v>
      </c>
      <c r="F92"/>
    </row>
    <row r="93" spans="1:6">
      <c r="A93" t="s">
        <v>51</v>
      </c>
      <c r="B93"/>
      <c r="C93" s="122">
        <f>IF(Dashboard!BO$2&gt;0,"",Worksheet!H35)</f>
        <v>107.74823520576751</v>
      </c>
      <c r="D93" s="123"/>
      <c r="E93" s="605">
        <f t="shared" si="0"/>
        <v>0</v>
      </c>
      <c r="F93"/>
    </row>
    <row r="94" spans="1:6">
      <c r="A94" s="223" t="s">
        <v>678</v>
      </c>
      <c r="B94" s="46"/>
      <c r="C94" s="126">
        <f>IF(Dashboard!BO$2&gt;0,"",Worksheet!H43)</f>
        <v>0.57399999999999995</v>
      </c>
      <c r="D94" s="127">
        <f>IF(Dashboard!BO$2&gt;0,"",IF(ISBLANK('Start Page'!AB22),"",IF(AND(ISBLANK(Worksheet!H77),Worksheet!Z77&lt;&gt;1),"",C94*Worksheet!H76*INDEX(Sheet1!B2:D4,MATCH('Start Page'!AB22,Sheet1!A2:A4,0),MATCH(Worksheet!J76,Sheet1!B1:D1,0)))))</f>
        <v>9178.26</v>
      </c>
      <c r="E94" s="606">
        <f t="shared" si="0"/>
        <v>9178.26</v>
      </c>
      <c r="F94" s="128"/>
    </row>
    <row r="95" spans="1:6">
      <c r="A95" s="935" t="s">
        <v>679</v>
      </c>
      <c r="B95" s="934"/>
      <c r="C95" s="936">
        <f>Worksheet!X50</f>
        <v>13.42085714285713</v>
      </c>
      <c r="D95" s="937">
        <f>IF(Dashboard!BO$2&gt;0,"",IF(ISBLANK('Start Page'!AB22),"",IF(AND(ISBLANK(Worksheet!H77),Worksheet!Z77&lt;&gt;1),"",C95*Worksheet!H76*INDEX(Sheet1!B2:D4,MATCH('Start Page'!AB22,Sheet1!A2:A4,0),MATCH(Worksheet!J76,Sheet1!B1:D1,0)))))</f>
        <v>214599.50571428554</v>
      </c>
      <c r="E95" s="938">
        <f t="shared" si="0"/>
        <v>214599.50571428554</v>
      </c>
      <c r="F95" s="128"/>
    </row>
    <row r="96" spans="1:6">
      <c r="A96" s="935" t="s">
        <v>1271</v>
      </c>
      <c r="B96" s="934"/>
      <c r="C96" s="936">
        <f>Worksheet!Y50</f>
        <v>8.9122448979591873E-2</v>
      </c>
      <c r="D96" s="937">
        <f>C96*input_VPC</f>
        <v>43.914195510204102</v>
      </c>
      <c r="E96" s="938">
        <f t="shared" si="0"/>
        <v>43.914195510204102</v>
      </c>
      <c r="F96" s="941" t="s">
        <v>1273</v>
      </c>
    </row>
    <row r="97" spans="1:7">
      <c r="A97" s="223" t="s">
        <v>680</v>
      </c>
      <c r="B97" s="46"/>
      <c r="C97" s="126">
        <f>IF(Dashboard!BO$2&gt;0,"",Worksheet!H39)</f>
        <v>0.63200000000000001</v>
      </c>
      <c r="D97" s="127">
        <f>IF(Dashboard!BO$2&gt;0,"",IF(ISBLANK('Start Page'!AB22),"",IF(AND(ISBLANK(Worksheet!H77),Worksheet!Z77&lt;&gt;1),"",C97*Worksheet!H76*INDEX(Sheet1!B2:D4,MATCH('Start Page'!AB22,Sheet1!A2:A4,0),MATCH(Worksheet!J76,Sheet1!B1:D1,0)))))</f>
        <v>10105.68</v>
      </c>
      <c r="E97" s="606">
        <f t="shared" si="0"/>
        <v>10105.68</v>
      </c>
      <c r="F97" s="128"/>
    </row>
    <row r="98" spans="1:7">
      <c r="A98" s="945" t="s">
        <v>42</v>
      </c>
      <c r="B98" s="945"/>
      <c r="C98" s="946">
        <f>IF(Dashboard!BO$2&gt;0,"",Worksheet!H46)</f>
        <v>14.715979591836781</v>
      </c>
      <c r="D98" s="947">
        <f>IF(Dashboard!BO$2&gt;0,"",SUM(D94:D97))</f>
        <v>233927.35990979575</v>
      </c>
      <c r="E98" s="605">
        <f t="shared" si="0"/>
        <v>233927.35990979575</v>
      </c>
      <c r="F98"/>
    </row>
    <row r="99" spans="1:7">
      <c r="A99" s="54" t="str">
        <f>"Real Losses valued at "&amp;A76&amp;""</f>
        <v xml:space="preserve">Real Losses valued at </v>
      </c>
      <c r="B99" s="46"/>
      <c r="C99" s="126">
        <f>IF(Dashboard!BO$2&gt;0,"",Worksheet!H51)</f>
        <v>93.03225561393073</v>
      </c>
      <c r="D99" s="939">
        <f>IF(Dashboard!BO$2&gt;0,"",Dashboard!N50)</f>
        <v>45840.713631208229</v>
      </c>
      <c r="E99" s="606">
        <f t="shared" si="0"/>
        <v>45840.713631208229</v>
      </c>
      <c r="F99" s="605"/>
    </row>
    <row r="100" spans="1:7">
      <c r="A100" t="s">
        <v>72</v>
      </c>
      <c r="B100"/>
      <c r="C100" s="122">
        <f>IF(Dashboard!BO$2&gt;0,"",Worksheet!H57)</f>
        <v>120.25123520576751</v>
      </c>
      <c r="D100" s="124">
        <f>IF(Dashboard!BO$2&gt;0,"",D98+D99+D90+D91)</f>
        <v>285928.80176100397</v>
      </c>
      <c r="E100" s="605">
        <f t="shared" si="0"/>
        <v>285928.80176100397</v>
      </c>
      <c r="F100"/>
      <c r="G100" s="129"/>
    </row>
    <row r="101" spans="1:7">
      <c r="A101" s="942"/>
    </row>
    <row r="102" spans="1:7">
      <c r="A102" s="942" t="s">
        <v>1272</v>
      </c>
      <c r="C102" s="943">
        <f>C95+C96</f>
        <v>13.509979591836721</v>
      </c>
      <c r="D102" s="129">
        <f>D95+D96</f>
        <v>214643.41990979575</v>
      </c>
      <c r="E102" s="129">
        <f>E95+E96</f>
        <v>214643.41990979575</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- 560 Nazareth</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657.62199999999996</v>
      </c>
      <c r="H12" s="362"/>
      <c r="I12" s="5"/>
      <c r="K12" s="898"/>
    </row>
    <row r="13" spans="2:16" ht="22.5" customHeight="1">
      <c r="B13" s="1133"/>
      <c r="C13" s="363"/>
      <c r="D13" s="360"/>
      <c r="E13" s="1142"/>
      <c r="F13" s="365">
        <f>Worksheet!H23+Worksheet!H24</f>
        <v>657.62199999999996</v>
      </c>
      <c r="G13" s="366" t="s">
        <v>1090</v>
      </c>
      <c r="H13" s="367">
        <f>SUM(G12+G14)</f>
        <v>657.62199999999996</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670.12499999999989</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4.367</v>
      </c>
      <c r="H16" s="1141"/>
      <c r="I16" s="5"/>
      <c r="K16" s="46"/>
    </row>
    <row r="17" spans="2:16" ht="22.5" customHeight="1">
      <c r="B17" s="377">
        <f>Worksheet!AG15</f>
        <v>777.8732352057674</v>
      </c>
      <c r="C17" s="378"/>
      <c r="D17" s="379"/>
      <c r="E17" s="250"/>
      <c r="F17" s="380">
        <f>Worksheet!H25+Worksheet!H26</f>
        <v>12.503</v>
      </c>
      <c r="G17" s="364" t="s">
        <v>1092</v>
      </c>
      <c r="H17" s="362"/>
      <c r="I17" s="5"/>
      <c r="K17" s="46"/>
      <c r="L17" s="121"/>
      <c r="M17" s="121"/>
      <c r="N17" s="121"/>
      <c r="O17" s="121"/>
      <c r="P17" s="121"/>
    </row>
    <row r="18" spans="2:16" ht="15.75" customHeight="1">
      <c r="B18" s="375"/>
      <c r="C18" s="1154" t="s">
        <v>763</v>
      </c>
      <c r="D18" s="360"/>
      <c r="E18" s="381"/>
      <c r="F18" s="370"/>
      <c r="G18" s="382">
        <f>Worksheet!H26</f>
        <v>8.1359999999999992</v>
      </c>
      <c r="H18" s="362"/>
      <c r="I18" s="5"/>
      <c r="K18" s="46"/>
    </row>
    <row r="19" spans="2:16" ht="22.5" customHeight="1">
      <c r="B19" s="375"/>
      <c r="C19" s="1154"/>
      <c r="D19" s="383" t="s">
        <v>116</v>
      </c>
      <c r="E19" s="356"/>
      <c r="F19" s="384"/>
      <c r="G19" s="600" t="s">
        <v>695</v>
      </c>
      <c r="H19" s="385">
        <f>Worksheet!H25+Worksheet!H26+Worksheet!H46+Worksheet!H51</f>
        <v>120.25123520576751</v>
      </c>
      <c r="I19" s="5"/>
      <c r="K19" s="46"/>
      <c r="L19" s="121"/>
      <c r="M19" s="121"/>
      <c r="N19" s="121"/>
      <c r="O19" s="121"/>
      <c r="P19" s="121"/>
    </row>
    <row r="20" spans="2:16" ht="15.75" customHeight="1">
      <c r="B20" s="375"/>
      <c r="C20" s="386">
        <f>B17+B27</f>
        <v>777.8732352057674</v>
      </c>
      <c r="D20" s="360"/>
      <c r="E20" s="250"/>
      <c r="F20" s="387" t="s">
        <v>52</v>
      </c>
      <c r="G20" s="376">
        <f>Worksheet!H39</f>
        <v>0.63200000000000001</v>
      </c>
      <c r="H20" s="362"/>
      <c r="I20" s="5"/>
      <c r="K20" s="46"/>
    </row>
    <row r="21" spans="2:16" ht="14.25" customHeight="1">
      <c r="B21" s="388"/>
      <c r="C21" s="389"/>
      <c r="D21" s="386">
        <f>Worksheet!H19</f>
        <v>777.8732352057674</v>
      </c>
      <c r="E21" s="390"/>
      <c r="F21" s="380">
        <f>Worksheet!H46</f>
        <v>14.715979591836781</v>
      </c>
      <c r="G21" s="364" t="s">
        <v>694</v>
      </c>
      <c r="H21" s="362"/>
      <c r="I21" s="5"/>
      <c r="K21" s="46"/>
      <c r="L21" s="121"/>
      <c r="M21" s="121"/>
      <c r="N21" s="121"/>
      <c r="O21" s="121"/>
      <c r="P21" s="121"/>
    </row>
    <row r="22" spans="2:16" ht="15.75" customHeight="1">
      <c r="B22" s="375"/>
      <c r="C22" s="359"/>
      <c r="D22" s="360"/>
      <c r="E22" s="250"/>
      <c r="F22" s="390"/>
      <c r="G22" s="391">
        <f>Worksheet!H41</f>
        <v>13.509979591836782</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0.57399999999999995</v>
      </c>
      <c r="H24" s="362"/>
      <c r="I24" s="5"/>
      <c r="K24" s="46"/>
    </row>
    <row r="25" spans="2:16" ht="26.25" customHeight="1">
      <c r="B25" s="1132" t="s">
        <v>1087</v>
      </c>
      <c r="C25" s="363"/>
      <c r="D25" s="360"/>
      <c r="E25" s="393">
        <f>Worksheet!H53</f>
        <v>107.74823520576751</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93.03225561393073</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M13" sqref="M13:O13"/>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- 560 Nazareth</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5"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25.4">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55">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34.954559073204834</v>
      </c>
      <c r="AF98" s="40">
        <f t="shared" ref="AF98:AF103" si="0">AE98</f>
        <v>34.954559073204834</v>
      </c>
      <c r="AG98" s="40">
        <f>IF(AE98&lt;&gt;0,AF98/10,0)</f>
        <v>3.4954559073204834</v>
      </c>
      <c r="AH98" s="40">
        <f>IFERROR(AD98*AG98,0)</f>
        <v>34.954559073204834</v>
      </c>
      <c r="AI98" s="40">
        <f t="shared" ref="AI98:AI117" si="1">IF(AG98=0,0,AF98-AH98)</f>
        <v>0</v>
      </c>
      <c r="AJ98">
        <f t="array" aca="1" ref="AJ98" ca="1">SUM(1*(AI98&lt;$AI$98:$AI$117))+1+IF(ROW(AI98)-ROW($AI$98)=0,0,SUM(1*(AI98=OFFSET($AI$98,0,0,INDEX(ROW(AI98)-ROW($AI$98)+1,1)-1,1))))</f>
        <v>5</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4.544092679516628E-2</v>
      </c>
      <c r="AF99" s="40">
        <f t="shared" si="0"/>
        <v>4.544092679516628E-2</v>
      </c>
      <c r="AG99" s="40">
        <f t="shared" ref="AG99:AG117" si="3">IF(AE99&lt;&gt;0,AF99/10,0)</f>
        <v>4.5440926795166283E-3</v>
      </c>
      <c r="AH99" s="40">
        <f t="shared" ref="AH99:AH106" si="4">IFERROR(AD99*AG99,0)</f>
        <v>4.5440926795166287E-2</v>
      </c>
      <c r="AI99" s="40">
        <f t="shared" si="1"/>
        <v>-6.9388939039072284E-18</v>
      </c>
      <c r="AJ99">
        <f t="array" aca="1" ref="AJ99" ca="1">SUM(1*(AI99&lt;$AI$98:$AI$117))+1+IF(ROW(AI99)-ROW($AI$98)=0,0,SUM(1*(AI99=OFFSET($AI$98,0,0,INDEX(ROW(AI99)-ROW($AI$98)+1,1)-1,1))))</f>
        <v>20</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6</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7</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8</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9</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13.907644991079913</v>
      </c>
      <c r="AF104" s="75">
        <f t="shared" ref="AF104:AF117" si="8">AE104/$AE$120</f>
        <v>17.056545743777253</v>
      </c>
      <c r="AG104" s="75">
        <f t="shared" si="3"/>
        <v>1.7056545743777254</v>
      </c>
      <c r="AH104" s="75">
        <f t="shared" ref="AH104:AH117" si="9">AD104*AG104</f>
        <v>15.350891169399528</v>
      </c>
      <c r="AI104" s="75">
        <f t="shared" si="1"/>
        <v>1.7056545743777249</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10</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9.23550089200878E-2</v>
      </c>
      <c r="AF106" s="79">
        <f t="shared" si="8"/>
        <v>0.11326557697746617</v>
      </c>
      <c r="AG106" s="79">
        <f t="shared" si="3"/>
        <v>1.1326557697746617E-2</v>
      </c>
      <c r="AH106" s="40">
        <f t="shared" si="4"/>
        <v>0.11326557697746617</v>
      </c>
      <c r="AI106" s="79">
        <f t="shared" si="1"/>
        <v>0</v>
      </c>
      <c r="AJ106" s="80">
        <f t="array" aca="1" ref="AJ106" ca="1">SUM(1*(AI106&lt;$AI$98:$AI$117))+1+IF(ROW(AI106)-ROW($AI$98)=0,0,SUM(1*(AI106=OFFSET($AI$98,0,0,INDEX(ROW(AI106)-ROW($AI$98)+1,1)-1,1))))</f>
        <v>11</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12</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3</v>
      </c>
      <c r="AK108" s="88" t="str">
        <f t="shared" si="5"/>
        <v>Unauthorized Consumption (UC)</v>
      </c>
      <c r="AL108" s="72">
        <f t="shared" si="10"/>
        <v>1</v>
      </c>
      <c r="AM108" s="72">
        <f t="shared" si="7"/>
        <v>1</v>
      </c>
      <c r="AN108" s="72">
        <f t="shared" si="2"/>
        <v>0</v>
      </c>
    </row>
    <row r="109" spans="28:40">
      <c r="AC109" s="217" t="s">
        <v>694</v>
      </c>
      <c r="AD109" s="73">
        <f>IF(Worksheet!F41="n/a",0,Worksheet!F41)</f>
        <v>4</v>
      </c>
      <c r="AE109" s="74">
        <f>IF(AND(Worksheet!F41="n/a",Worksheet!H41=0),0,6)</f>
        <v>6</v>
      </c>
      <c r="AF109" s="75">
        <f t="shared" si="8"/>
        <v>7.3584905660377355</v>
      </c>
      <c r="AG109" s="75">
        <f t="shared" si="3"/>
        <v>0.73584905660377353</v>
      </c>
      <c r="AH109" s="75">
        <f t="shared" si="9"/>
        <v>2.9433962264150941</v>
      </c>
      <c r="AI109" s="75">
        <f t="shared" si="1"/>
        <v>4.415094339622641</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10</v>
      </c>
      <c r="AE110" s="70">
        <v>3.5</v>
      </c>
      <c r="AF110" s="71">
        <f t="shared" si="8"/>
        <v>4.2924528301886795</v>
      </c>
      <c r="AG110" s="71">
        <f t="shared" si="3"/>
        <v>0.42924528301886794</v>
      </c>
      <c r="AH110" s="71">
        <f t="shared" si="9"/>
        <v>4.2924528301886795</v>
      </c>
      <c r="AI110" s="71">
        <f t="shared" si="1"/>
        <v>0</v>
      </c>
      <c r="AJ110" s="72">
        <f t="array" aca="1" ref="AJ110" ca="1">SUM(1*(AI110&lt;$AI$98:$AI$117))+1+IF(ROW(AI110)-ROW($AI$98)=0,0,SUM(1*(AI110=OFFSET($AI$98,0,0,INDEX(ROW(AI110)-ROW($AI$98)+1,1)-1,1))))</f>
        <v>13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4</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18</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19</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92.530194482226065</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79.2">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9.6">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42" zoomScale="115" zoomScaleNormal="115" zoomScaleSheetLayoutView="100" workbookViewId="0">
      <selection activeCell="C42" sqref="C42:L42"/>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20" t="s">
        <v>32</v>
      </c>
      <c r="D44" s="1222" t="s">
        <v>1219</v>
      </c>
      <c r="E44" s="1223"/>
      <c r="F44" s="1223"/>
      <c r="G44" s="1223"/>
      <c r="H44" s="1223"/>
      <c r="I44" s="1223"/>
      <c r="J44" s="1223"/>
      <c r="K44" s="1223"/>
      <c r="L44" s="1224"/>
      <c r="M44" s="419"/>
      <c r="N44" s="115"/>
    </row>
    <row r="45" spans="1:14" ht="13.8"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13" t="s">
        <v>1229</v>
      </c>
      <c r="E67" s="1216"/>
      <c r="F67" s="1216"/>
      <c r="G67" s="1216"/>
      <c r="H67" s="1216"/>
      <c r="I67" s="1216"/>
      <c r="J67" s="1216"/>
      <c r="K67" s="1216"/>
      <c r="L67" s="1217"/>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13" t="s">
        <v>1228</v>
      </c>
      <c r="E71" s="1216"/>
      <c r="F71" s="1216"/>
      <c r="G71" s="1216"/>
      <c r="H71" s="1216"/>
      <c r="I71" s="1216"/>
      <c r="J71" s="1216"/>
      <c r="K71" s="1216"/>
      <c r="L71" s="1217"/>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39999999999998"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50000000000003"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5"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79.2">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9.6">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6.4">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2F4A8033-1914-4A38-805C-5B876EAB84A5}"/>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2026-03-04T17:41:25Z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