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55" documentId="13_ncr:1_{7FFEB7D8-A82C-4499-8BE4-1FB8D4A63AEB}" xr6:coauthVersionLast="47" xr6:coauthVersionMax="47" xr10:uidLastSave="{B8B00A9A-A8DB-4D7C-9471-41E20C11C7BC}"/>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<sst xmlns="http://schemas.openxmlformats.org/spreadsheetml/2006/main" count="2561" uniqueCount="1284">
  <si>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</si>
  <si>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</si>
  <si>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</si>
  <si>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</si>
  <si>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</si>
  <si>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</si>
  <si>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</si>
  <si>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</si>
  <si>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</si>
  <si>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</si>
  <si>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</si>
  <si>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</si>
  <si>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</si>
  <si>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</si>
  <si>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</si>
  <si>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</si>
  <si>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</si>
  <si>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</si>
  <si>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</si>
  <si>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</si>
  <si>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</si>
  <si>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</si>
  <si>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</si>
  <si>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</si>
  <si>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</si>
  <si>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</si>
  <si>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</si>
  <si>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</si>
  <si>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</si>
  <si>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</si>
  <si>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</si>
  <si>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</si>
  <si>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</si>
  <si>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</si>
  <si>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</si>
  <si>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</si>
  <si>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</si>
  <si>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</si>
  <si>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</si>
  <si>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</si>
  <si>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</si>
  <si>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</si>
  <si>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</si>
  <si>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</si>
  <si>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</si>
  <si>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</si>
  <si>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</si>
  <si>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</si>
  <si>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</si>
  <si>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</si>
  <si>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</si>
  <si>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</si>
  <si>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</si>
  <si>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</si>
  <si>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</si>
  <si>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</si>
  <si>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</si>
  <si>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</si>
  <si>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</si>
  <si>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</si>
  <si>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</si>
  <si>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</si>
  <si>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</si>
  <si>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</si>
  <si>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</si>
  <si>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</si>
  <si>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</si>
  <si>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</si>
  <si>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</si>
  <si>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</si>
  <si>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</si>
  <si>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</si>
  <si>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</si>
  <si>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</si>
  <si>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</si>
  <si>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</si>
  <si>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</si>
  <si>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</si>
  <si>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</si>
  <si>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</si>
  <si>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</si>
  <si>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</si>
  <si>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</si>
  <si>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</si>
  <si>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</si>
  <si>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</si>
  <si>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</si>
  <si>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</si>
  <si>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</si>
  <si>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</si>
  <si>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</si>
  <si>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</si>
  <si>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</si>
  <si>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</si>
  <si>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</si>
  <si>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</si>
  <si>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</si>
  <si>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</si>
  <si>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</si>
  <si>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</si>
  <si>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</si>
  <si>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</si>
  <si>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</si>
  <si>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</si>
  <si>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</si>
  <si>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</si>
  <si>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</si>
  <si>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</si>
  <si>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</si>
  <si>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</si>
  <si>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</si>
  <si>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</si>
  <si>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</si>
  <si>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</si>
  <si>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</si>
  <si>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</si>
  <si>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</si>
  <si>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</si>
  <si>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</si>
  <si>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</si>
  <si>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</si>
  <si>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</si>
  <si>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</si>
  <si>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</si>
  <si>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</si>
  <si>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</si>
  <si>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</si>
  <si>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</si>
  <si>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</si>
  <si>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</si>
  <si>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</si>
  <si>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</si>
  <si>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</si>
  <si>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</si>
  <si>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</si>
  <si>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</si>
  <si>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</si>
  <si>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</si>
  <si>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</si>
  <si>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</si>
  <si>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</si>
  <si>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</si>
  <si>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</si>
  <si>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</si>
  <si>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</si>
  <si>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</si>
  <si>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</si>
  <si>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</si>
  <si>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</si>
  <si>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</si>
  <si>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</si>
  <si>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</si>
  <si>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</si>
  <si>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</si>
  <si>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</si>
  <si>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</si>
  <si>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</si>
  <si>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</si>
  <si>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</si>
  <si>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</si>
  <si>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</si>
  <si>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</si>
  <si>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</si>
  <si>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</si>
  <si>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</si>
  <si>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</si>
  <si>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</si>
  <si>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</si>
  <si>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</si>
  <si>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</si>
  <si>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</si>
  <si>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</si>
  <si>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</si>
  <si>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</si>
  <si>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</si>
  <si>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</si>
  <si>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</si>
  <si>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</si>
  <si>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</si>
  <si>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</si>
  <si>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</si>
  <si>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</si>
  <si>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</si>
  <si>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</si>
  <si>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</si>
  <si>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</si>
  <si>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</si>
  <si>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</si>
  <si>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</si>
  <si>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</si>
  <si>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</si>
  <si>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</si>
  <si>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</si>
  <si>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</si>
  <si>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</si>
  <si>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</si>
  <si>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</si>
  <si>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</si>
  <si>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</si>
  <si>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</si>
  <si>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</si>
  <si>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</si>
  <si>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</si>
  <si>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</si>
  <si>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</si>
  <si>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</si>
  <si>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</si>
  <si>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</si>
  <si>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</si>
  <si>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</si>
  <si>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</si>
  <si>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</si>
  <si>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</si>
  <si>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</si>
  <si>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</si>
  <si>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</si>
  <si>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</si>
  <si>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</si>
  <si>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</si>
  <si>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</si>
  <si>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</si>
  <si>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</si>
  <si>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</si>
  <si>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</si>
  <si>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</si>
  <si>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</si>
  <si>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</si>
  <si>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</si>
  <si>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</si>
  <si>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</si>
  <si>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</si>
  <si>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</si>
  <si>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</si>
  <si>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</si>
  <si>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</si>
  <si>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</si>
  <si>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</si>
  <si>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</si>
  <si>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</si>
  <si>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</si>
  <si>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</si>
  <si>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</si>
  <si>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</si>
  <si>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</si>
  <si>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</si>
  <si>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</si>
  <si>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</si>
  <si>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</si>
  <si>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</si>
  <si>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</si>
  <si>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</si>
  <si>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</si>
  <si>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</si>
  <si>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</si>
  <si>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</si>
  <si>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</si>
  <si>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</si>
  <si>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</si>
  <si>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</si>
  <si>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</si>
  <si>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</si>
  <si>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</si>
  <si>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</si>
  <si>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</si>
  <si>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</si>
  <si>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</si>
  <si>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</si>
  <si>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</si>
  <si>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</si>
  <si>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</si>
  <si>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</si>
  <si>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</si>
  <si>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</si>
  <si>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</si>
  <si>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</si>
  <si>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</si>
  <si>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</si>
  <si>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</si>
  <si>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</si>
  <si>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</si>
  <si>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</si>
  <si>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</si>
  <si>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</si>
  <si>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</si>
  <si>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</si>
  <si>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</si>
  <si>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</si>
  <si>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</si>
  <si>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</si>
  <si>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</si>
  <si>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</si>
  <si>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</si>
  <si>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</si>
  <si>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</si>
  <si>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</si>
  <si>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</si>
  <si>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</si>
  <si>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</si>
  <si>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</si>
  <si>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</si>
  <si>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</si>
  <si>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</si>
  <si>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</si>
  <si>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</si>
  <si>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</si>
  <si>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</si>
  <si>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</si>
  <si>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</si>
  <si>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</si>
  <si>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</si>
  <si>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</si>
  <si>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</si>
  <si>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</si>
  <si>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</si>
  <si>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</si>
  <si>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</si>
  <si>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</si>
  <si>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</si>
  <si>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</si>
  <si>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</si>
  <si>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</si>
  <si>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</si>
  <si>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</si>
  <si>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</si>
  <si>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</si>
  <si>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</si>
  <si>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</si>
  <si>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</si>
  <si>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</si>
  <si>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</si>
  <si>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</si>
  <si>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</si>
  <si>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</si>
  <si>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</si>
  <si>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</si>
  <si>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</si>
  <si>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</si>
  <si>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</si>
  <si>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</si>
  <si>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</si>
  <si>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</si>
  <si>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</si>
  <si>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</si>
  <si>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</si>
  <si>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</si>
  <si>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</si>
  <si>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</si>
  <si>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</si>
  <si>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</si>
  <si>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</si>
  <si>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</si>
  <si>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</si>
  <si>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</si>
  <si>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</si>
  <si>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</si>
  <si>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</si>
  <si>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</si>
  <si>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</si>
  <si>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</si>
  <si>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</si>
  <si>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</si>
  <si>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</si>
  <si>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</si>
  <si>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</si>
  <si>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</si>
  <si>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</si>
  <si>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</si>
  <si>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</si>
  <si>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</si>
  <si>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</si>
  <si>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</si>
  <si>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</si>
  <si>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</si>
  <si>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</si>
  <si>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</si>
  <si>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</si>
  <si>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</si>
  <si>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</si>
  <si>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</si>
  <si>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</si>
  <si>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</si>
  <si>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</si>
  <si>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</si>
  <si>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</si>
  <si>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</si>
  <si>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</si>
  <si>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</si>
  <si>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</si>
  <si>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</si>
  <si>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</si>
  <si>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</si>
  <si>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</si>
  <si>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</si>
  <si>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</si>
  <si>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</si>
  <si>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</si>
  <si>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</si>
  <si>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</si>
  <si>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</si>
  <si>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</si>
  <si>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</si>
  <si>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</si>
  <si>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</si>
  <si>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</si>
  <si>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</si>
  <si>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</si>
  <si>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</si>
  <si>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</si>
  <si>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</si>
  <si>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</si>
  <si>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</si>
  <si>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</si>
  <si>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</si>
  <si>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</si>
  <si>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</si>
  <si>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</si>
  <si>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</si>
  <si>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</si>
  <si>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</si>
  <si>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</si>
  <si>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</si>
  <si>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</si>
  <si>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</si>
  <si>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</si>
  <si>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</si>
  <si>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</si>
  <si>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</si>
  <si>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</si>
  <si>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</si>
  <si>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</si>
  <si>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</si>
  <si>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</si>
  <si>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</si>
  <si>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</si>
  <si>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</si>
  <si>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</si>
  <si>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</si>
  <si>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</si>
  <si>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</si>
  <si>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</si>
  <si>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</si>
  <si>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</si>
  <si>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</si>
  <si>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</si>
  <si>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</si>
  <si>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</si>
  <si>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</si>
  <si>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</si>
  <si>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</si>
  <si>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</si>
  <si>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</si>
  <si>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</si>
  <si>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</si>
  <si>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</si>
  <si>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</si>
  <si>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</si>
  <si>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</si>
  <si>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</si>
  <si>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</si>
  <si>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</si>
  <si>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</si>
  <si>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</si>
  <si>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</si>
  <si>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</si>
  <si>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</si>
  <si>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</si>
  <si>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</si>
  <si>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</si>
  <si>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</si>
  <si>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</si>
  <si>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</si>
  <si>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</si>
  <si>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</si>
  <si>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</si>
  <si>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</si>
  <si>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</si>
  <si>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</si>
  <si>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</si>
  <si>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</si>
  <si>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</si>
  <si>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</si>
  <si>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</si>
  <si>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</si>
  <si>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</si>
  <si>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</si>
  <si>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</si>
  <si>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</si>
  <si>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</si>
  <si>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</si>
  <si>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</si>
  <si>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</si>
  <si>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</si>
  <si>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</si>
  <si>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</si>
  <si>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</si>
  <si>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</si>
  <si>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</si>
  <si>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</si>
  <si>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</si>
  <si>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</si>
  <si>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</si>
  <si>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</si>
  <si>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</si>
  <si>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</si>
  <si>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</si>
  <si>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</si>
  <si>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</si>
  <si>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</si>
  <si>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</si>
  <si>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</si>
  <si>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</si>
  <si>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</si>
  <si>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</si>
  <si>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</si>
  <si>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</si>
  <si>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</si>
  <si>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</si>
  <si>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</si>
  <si>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</si>
  <si>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</si>
  <si>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</si>
  <si>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</si>
  <si>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</si>
  <si>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</si>
  <si>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</si>
  <si>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</si>
  <si>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</si>
  <si>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</si>
  <si>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</si>
  <si>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</si>
  <si>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</si>
  <si>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</si>
  <si>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</si>
  <si>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</si>
  <si>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</si>
  <si>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</si>
  <si>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</si>
  <si>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</si>
  <si>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</si>
  <si>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</si>
  <si>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</si>
  <si>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</si>
  <si>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</si>
  <si>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</si>
  <si>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</si>
  <si>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</si>
  <si>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</si>
  <si>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</si>
  <si>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</si>
  <si>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</si>
  <si>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</si>
  <si>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</si>
  <si>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</si>
  <si>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</si>
  <si>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</si>
  <si>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</si>
  <si>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</si>
  <si>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</si>
  <si>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</si>
  <si>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</si>
  <si>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</si>
  <si>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</si>
  <si>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</si>
  <si>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</si>
  <si>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</si>
  <si>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</si>
  <si>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</si>
  <si>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</si>
  <si>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</si>
  <si>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</si>
  <si>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</si>
  <si>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</si>
  <si>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</si>
  <si>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</si>
  <si>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</si>
  <si>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</si>
  <si>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</si>
  <si>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</si>
  <si>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</si>
  <si>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</si>
  <si>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</si>
  <si>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</si>
  <si>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</si>
  <si>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</si>
  <si>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</si>
  <si>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</si>
  <si>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</si>
  <si>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</si>
  <si>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</si>
  <si>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</si>
  <si>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</si>
  <si>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</si>
  <si>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</si>
  <si>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</si>
  <si>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</si>
  <si>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</si>
  <si>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</si>
  <si>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</si>
  <si>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</si>
  <si>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</si>
  <si>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</si>
  <si>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</si>
  <si>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</si>
  <si>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</si>
  <si>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</si>
  <si>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</si>
  <si>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</si>
  <si>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</si>
  <si>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</si>
  <si>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</si>
  <si>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</si>
  <si>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</si>
  <si>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</si>
  <si>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</si>
  <si>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</si>
  <si>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</si>
  <si>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</si>
  <si>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</si>
  <si>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</si>
  <si>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</si>
  <si>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</si>
  <si>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</si>
  <si>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</si>
  <si>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</si>
  <si>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</si>
  <si>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</si>
  <si>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</si>
  <si>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</si>
  <si>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</si>
  <si>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</si>
  <si>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</si>
  <si>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</si>
  <si>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</si>
  <si>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</si>
  <si>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</si>
  <si>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</si>
  <si>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</si>
  <si>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</si>
  <si>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</si>
  <si>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</si>
  <si>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</si>
  <si>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</si>
  <si>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</si>
  <si>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</si>
  <si>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</si>
  <si>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</si>
  <si>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</si>
  <si>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</si>
  <si>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</si>
  <si>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</si>
  <si>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</si>
  <si>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</si>
  <si>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</si>
  <si>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</si>
  <si>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</si>
  <si>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</si>
  <si>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</si>
  <si>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</si>
  <si>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</si>
  <si>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</si>
  <si>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</si>
  <si>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</si>
  <si>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</si>
  <si>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</si>
  <si>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</si>
  <si>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</si>
  <si>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</si>
  <si>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</si>
  <si>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</si>
  <si>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</si>
  <si>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</si>
  <si>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</si>
  <si>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</si>
  <si>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</si>
  <si>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</si>
  <si>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</si>
  <si>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</si>
  <si>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</si>
  <si>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</si>
  <si>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</si>
  <si>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</si>
  <si>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</si>
  <si>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</si>
  <si>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</si>
  <si>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</si>
  <si>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</si>
  <si>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</si>
  <si>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</si>
  <si>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</si>
  <si>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</si>
  <si>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</si>
  <si>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</si>
  <si>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</si>
  <si>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</si>
  <si>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</si>
  <si>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</si>
  <si>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</si>
  <si>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</si>
  <si>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</si>
  <si>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</si>
  <si>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</si>
  <si>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</si>
  <si>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</si>
  <si>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</si>
  <si>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</si>
  <si>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</si>
  <si>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</si>
  <si>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</si>
  <si>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</si>
  <si>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</si>
  <si>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</si>
  <si>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</si>
  <si>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</si>
  <si>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</si>
  <si>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</si>
  <si>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</si>
  <si>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</si>
  <si>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</si>
  <si>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</si>
  <si>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</si>
  <si>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</si>
  <si>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</si>
  <si>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</si>
  <si>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</si>
  <si>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</si>
  <si>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</si>
  <si>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</si>
  <si>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</si>
  <si>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</si>
  <si>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</si>
  <si>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</si>
  <si>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</si>
  <si>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</si>
  <si>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</si>
  <si>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</si>
  <si>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</si>
  <si>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</si>
  <si>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</si>
  <si>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</si>
  <si>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</si>
  <si>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</si>
  <si>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</si>
  <si>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</si>
  <si>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</si>
  <si>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</si>
  <si>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</si>
  <si>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</si>
  <si>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</si>
  <si>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</si>
  <si>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</si>
  <si>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</si>
  <si>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</si>
  <si>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</si>
  <si>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</si>
  <si>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</si>
  <si>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</si>
  <si>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</si>
  <si>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</si>
  <si>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</si>
  <si>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</si>
  <si>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</si>
  <si>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</si>
  <si>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</si>
  <si>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</si>
  <si>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</si>
  <si>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</si>
  <si>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</si>
  <si>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</si>
  <si>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</si>
  <si>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</si>
  <si>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</si>
  <si>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</si>
  <si>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</si>
  <si>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</si>
  <si>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</si>
  <si>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</si>
  <si>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</si>
  <si>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</si>
  <si>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</si>
  <si>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</si>
  <si>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</si>
  <si>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</si>
  <si>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</si>
  <si>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</si>
  <si>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</si>
  <si>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</si>
  <si>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</si>
  <si>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</si>
  <si>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</si>
  <si>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</si>
  <si>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</si>
  <si>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</si>
  <si>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</si>
  <si>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</si>
  <si>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</si>
  <si>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</si>
  <si>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</si>
  <si>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</si>
  <si>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</si>
  <si>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</si>
  <si>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</si>
  <si>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</si>
  <si>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</si>
  <si>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</si>
  <si>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</si>
  <si>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</si>
  <si>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</si>
  <si>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</si>
  <si>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</si>
  <si>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</si>
  <si>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</si>
  <si>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</si>
  <si>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</si>
  <si>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</si>
  <si>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</si>
  <si>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</si>
  <si>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</si>
  <si>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</si>
  <si>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</si>
  <si>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</si>
  <si>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</si>
  <si>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</si>
  <si>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</si>
  <si>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</si>
  <si>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</si>
  <si>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</si>
  <si>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</si>
  <si>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</si>
  <si>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</si>
  <si>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</si>
  <si>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</si>
  <si>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</si>
  <si>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</si>
  <si>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</si>
  <si>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</si>
  <si>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</si>
  <si>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</si>
  <si>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</si>
  <si>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</si>
  <si>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</si>
  <si>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</si>
  <si>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</si>
  <si>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</si>
  <si>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</si>
  <si>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</si>
  <si>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</si>
  <si>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</si>
  <si>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</si>
  <si>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</si>
  <si>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</si>
  <si>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</si>
  <si>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</si>
  <si>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</si>
  <si>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</si>
  <si>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</si>
  <si>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</si>
  <si>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</si>
  <si>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</si>
  <si>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</si>
  <si>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</si>
  <si>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</si>
  <si>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</si>
  <si>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</si>
  <si>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</si>
  <si>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</si>
  <si>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</si>
  <si>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</si>
  <si>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</si>
  <si>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</si>
  <si>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</si>
  <si>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</si>
  <si>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</si>
  <si>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</si>
  <si>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</si>
  <si>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</si>
  <si>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</si>
  <si>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</si>
  <si>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</si>
  <si>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</si>
  <si>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</si>
  <si>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</si>
  <si>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</si>
  <si>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</si>
  <si>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</si>
  <si>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</si>
  <si>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</si>
  <si>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</si>
  <si>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</si>
  <si>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</si>
  <si>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</si>
  <si>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</si>
  <si>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</si>
  <si>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</si>
  <si>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</si>
  <si>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</si>
  <si>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</si>
  <si>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</si>
  <si>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</si>
  <si>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</si>
  <si>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</si>
  <si>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</si>
  <si>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</si>
  <si>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</si>
  <si>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</si>
  <si>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</si>
  <si>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</si>
  <si>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</si>
  <si>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</si>
  <si>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</si>
  <si>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</si>
  <si>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</si>
  <si>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</si>
  <si>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</si>
  <si>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</si>
  <si>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</si>
  <si>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</si>
  <si>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</si>
  <si>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</si>
  <si>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</si>
  <si>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</si>
  <si>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</si>
  <si>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</si>
  <si>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</si>
  <si>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</si>
  <si>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</si>
  <si>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</si>
  <si>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</si>
  <si>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</si>
  <si>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</si>
  <si>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</si>
  <si>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</si>
  <si>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</si>
  <si>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</si>
  <si>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</si>
  <si>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</si>
  <si>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</si>
  <si>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</si>
  <si>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</si>
  <si>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</si>
  <si>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</si>
  <si>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</si>
  <si>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</si>
  <si>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</si>
  <si>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</si>
  <si>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</si>
  <si>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</si>
  <si>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</si>
  <si>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</si>
  <si>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</si>
  <si>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</si>
  <si>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</si>
  <si>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</si>
  <si>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</si>
  <si>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</si>
  <si>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</si>
  <si>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</si>
  <si>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</si>
  <si>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</si>
  <si>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</si>
  <si>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</si>
  <si>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</si>
  <si>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</si>
  <si>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</si>
  <si>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</si>
  <si>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</si>
  <si>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</si>
  <si>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</si>
  <si>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</si>
  <si>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</si>
  <si>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</si>
  <si>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</si>
  <si>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</si>
  <si>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</si>
  <si>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</si>
  <si>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</si>
  <si>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</si>
  <si>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</si>
  <si>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</si>
  <si>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</si>
  <si>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</si>
  <si>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</si>
  <si>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</si>
  <si>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</si>
  <si>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</si>
  <si>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</si>
  <si>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</si>
  <si>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</si>
  <si>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</si>
  <si>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</si>
  <si>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</si>
  <si>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</si>
  <si>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</si>
  <si>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</si>
  <si>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</si>
  <si>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</si>
  <si>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</si>
  <si>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</si>
  <si>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</si>
  <si>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</si>
  <si>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</si>
  <si>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</si>
  <si>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</si>
  <si>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</si>
  <si>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</si>
  <si>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</si>
  <si>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</si>
  <si>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</si>
  <si>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</si>
  <si>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</si>
  <si>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</si>
  <si>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</si>
  <si>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</si>
  <si>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</si>
  <si>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</si>
  <si>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</si>
  <si>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</si>
  <si>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</si>
  <si>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</si>
  <si>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</si>
  <si>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</si>
  <si>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</si>
  <si>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</si>
  <si>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</si>
  <si>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</si>
  <si>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</si>
  <si>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</si>
  <si>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</si>
  <si>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</si>
  <si>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</si>
  <si>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</si>
  <si>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</si>
  <si>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</si>
  <si>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</si>
  <si>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</si>
  <si>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</si>
  <si>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</si>
  <si>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</si>
  <si>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</si>
  <si>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</si>
  <si>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</si>
  <si>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</si>
  <si>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</si>
  <si>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</si>
  <si>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</si>
  <si>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</si>
  <si>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</si>
  <si>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</si>
  <si>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</si>
  <si>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</si>
  <si>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</si>
  <si>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</si>
  <si>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</si>
  <si>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</si>
  <si>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</si>
  <si>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</si>
  <si>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</si>
  <si>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</si>
  <si>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</si>
  <si>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</si>
  <si>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</si>
  <si>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</si>
  <si>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</si>
  <si>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</si>
  <si>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</si>
  <si>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</si>
  <si>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</si>
  <si>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</si>
  <si>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</si>
  <si>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</si>
  <si>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</si>
  <si>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</si>
  <si>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</si>
  <si>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</si>
  <si>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</si>
  <si>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</si>
  <si>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</si>
  <si>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</si>
  <si>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</si>
  <si>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</si>
  <si>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</si>
  <si>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</si>
  <si>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</si>
  <si>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</si>
  <si>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</si>
  <si>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</si>
  <si>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</si>
  <si>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</si>
  <si>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</si>
  <si>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</si>
  <si>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</si>
  <si>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</si>
  <si>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</si>
  <si>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</si>
  <si>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</si>
  <si>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</si>
  <si>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</si>
  <si>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</si>
  <si>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</si>
  <si>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</si>
  <si>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</si>
  <si>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</si>
  <si>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</si>
  <si>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</si>
  <si>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</si>
  <si>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</si>
  <si>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</si>
  <si>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</si>
  <si>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</si>
  <si>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</si>
  <si>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</si>
  <si>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</si>
  <si>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</si>
  <si>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</si>
  <si>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</si>
  <si>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</si>
  <si>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</si>
  <si>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</si>
  <si>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</si>
  <si>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</si>
  <si>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</si>
  <si>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</si>
  <si>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</si>
  <si>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</si>
  <si>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</si>
  <si>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</si>
  <si>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</si>
  <si>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</si>
  <si>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</si>
  <si>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</si>
  <si>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</si>
  <si>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</si>
  <si>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</si>
  <si>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</si>
  <si>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</si>
  <si>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</si>
  <si>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</si>
  <si>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</si>
  <si>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</si>
  <si>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</si>
  <si>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</si>
  <si>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</si>
  <si>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</si>
  <si>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</si>
  <si>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</si>
  <si>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</si>
  <si>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</si>
  <si>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</si>
  <si>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</si>
  <si>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</si>
  <si>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</si>
  <si>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</si>
  <si>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</si>
  <si>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</si>
  <si>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</si>
  <si>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</si>
  <si>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</si>
  <si>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</si>
  <si>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</si>
  <si>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</si>
  <si>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</si>
  <si>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</si>
  <si>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</si>
  <si>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</si>
  <si>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</si>
  <si>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</si>
  <si>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</si>
  <si>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</si>
  <si>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</si>
  <si>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</si>
  <si>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</si>
  <si>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</si>
  <si>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</si>
  <si>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</si>
  <si>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</si>
  <si>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</si>
  <si>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</si>
  <si>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</si>
  <si>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</si>
  <si>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</si>
  <si>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</si>
  <si>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</si>
  <si>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</si>
  <si>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</si>
  <si>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</si>
  <si>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</si>
  <si>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</si>
  <si>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</si>
  <si>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</si>
  <si>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</si>
  <si>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</si>
  <si>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</si>
  <si>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</si>
  <si>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</si>
  <si>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</si>
  <si>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</si>
  <si>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</si>
  <si>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</si>
  <si>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</si>
  <si>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</si>
  <si>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</si>
  <si>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</si>
  <si>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</si>
  <si>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</si>
  <si>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</si>
  <si>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</si>
  <si>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</si>
  <si>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</si>
  <si>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</si>
  <si>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</si>
  <si>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</si>
  <si>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</si>
  <si>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</si>
  <si>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</si>
  <si>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</si>
  <si>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</si>
  <si>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</si>
  <si>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</si>
  <si>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</si>
  <si>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</si>
  <si>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</si>
  <si>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</si>
  <si>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</si>
  <si>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</si>
  <si>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</si>
  <si>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</si>
  <si>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</si>
  <si>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</si>
  <si>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</si>
  <si>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</si>
  <si>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</si>
  <si>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</si>
  <si>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</si>
  <si>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</si>
  <si>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</si>
  <si>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</si>
  <si>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</si>
  <si>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</si>
  <si>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</si>
  <si>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</si>
  <si>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</si>
  <si>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</si>
  <si>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</si>
  <si>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</si>
  <si>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</si>
  <si>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</si>
  <si>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</si>
  <si>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</si>
  <si>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</si>
  <si>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</si>
  <si>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</si>
  <si>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</si>
  <si>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</si>
  <si>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</si>
  <si>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</si>
  <si>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</si>
  <si>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</si>
  <si>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</si>
  <si>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</si>
  <si>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</si>
  <si>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</si>
  <si>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</si>
  <si>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</si>
  <si>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</si>
  <si>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</si>
  <si>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</si>
  <si>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</si>
  <si>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</si>
  <si>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</si>
  <si>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</si>
  <si>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</si>
  <si>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</si>
  <si>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</si>
  <si>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</si>
  <si>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</si>
  <si>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</si>
  <si>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James Baer</t>
  </si>
  <si>
    <t>james.baer@amwater.com</t>
  </si>
  <si>
    <t>610-842-3118</t>
  </si>
  <si>
    <t>Hershey</t>
  </si>
  <si>
    <t>USA</t>
  </si>
  <si>
    <t>Calendar</t>
  </si>
  <si>
    <t>PAW - 620 Hershey</t>
  </si>
  <si>
    <t>7220017</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</si>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</sst>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72.470804282685563</c:v>
                </c:pt>
                <c:pt idx="1">
                  <c:v>2.0024160337996988</c:v>
                </c:pt>
                <c:pt idx="2">
                  <c:v>175.82878390847708</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4.8341348283867074</c:v>
                </c:pt>
                <c:pt idx="1">
                  <c:v>0.26113598867139654</c:v>
                </c:pt>
                <c:pt idx="2">
                  <c:v>27.546727766866464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44.158741697050601</c:v>
                </c:pt>
                <c:pt idx="1">
                  <c:v>0.92482240795754933</c:v>
                </c:pt>
                <c:pt idx="2">
                  <c:v>70.519236889685516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15.99298133014762</c:v>
                </c:pt>
                <c:pt idx="1">
                  <c:v>0.56875750335916142</c:v>
                </c:pt>
                <c:pt idx="2">
                  <c:v>54.532949086388399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95</c:v>
                </c:pt>
                <c:pt idx="1">
                  <c:v>1.2666666666666666</c:v>
                </c:pt>
                <c:pt idx="2" formatCode="General">
                  <c:v>103.73333333333333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667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3.758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14.234999999999999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1.6120000000000001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37.935122448979726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3.758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605.90247412215274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$1,095,444/Yr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2434.50756</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9221.7177000000011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25775.88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605405.9566849001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60090.42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392515.74078581302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26.765808526427506</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3.3724755960867143</c:v>
                </c:pt>
                <c:pt idx="1">
                  <c:v>9.0856271993300333E-2</c:v>
                </c:pt>
                <c:pt idx="2">
                  <c:v>7.8937021310825273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67.636669454298854</c:v>
                </c:pt>
                <c:pt idx="1">
                  <c:v>1.8469276802355887</c:v>
                </c:pt>
                <c:pt idx="2">
                  <c:v>161.38236289491414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4925.8361377354795</c:v>
                </c:pt>
                <c:pt idx="1">
                  <c:v>97.186039594358903</c:v>
                </c:pt>
                <c:pt idx="2" formatCode="_(* #,##0_);_(* \(#,##0\);_(* &quot;-&quot;??_);_(@_)">
                  <c:v>7125.2327719650239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WIEA"/><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image" Target="../media/image7.emf"/><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WI"/><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VPC"/><Relationship Id="rId5" Type="http://schemas.openxmlformats.org/officeDocument/2006/relationships/hyperlink" Target="#'Interactive Data Grading'!UC"/><Relationship Id="rId15" Type="http://schemas.openxmlformats.org/officeDocument/2006/relationships/hyperlink" Target="#'Interactive Data Grading'!VOSEA"/><Relationship Id="rId23" Type="http://schemas.openxmlformats.org/officeDocument/2006/relationships/image" Target="../media/image8.emf"/><Relationship Id="rId10" Type="http://schemas.openxmlformats.org/officeDocument/2006/relationships/hyperlink" Target="#'Interactive Data Grading'!BUAC"/><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VOS"/><Relationship Id="rId22" Type="http://schemas.openxmlformats.org/officeDocument/2006/relationships/hyperlink" Target="#'Interactive Data Grading'!CRUC"/><Relationship Id="rId27" Type="http://schemas.openxmlformats.org/officeDocument/2006/relationships/image" Target="../media/image9.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4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5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5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5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53"/>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54"/>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55"/>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56"/>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57"/>
                  </a:ext>
                </a:extLst>
              </xdr:cNvPicPr>
            </xdr:nvPicPr>
            <xdr:blipFill rotWithShape="1">
              <a:blip xmlns:r="http://schemas.openxmlformats.org/officeDocument/2006/relationships" r:embed="rId3"/>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58"/>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4"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59"/>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5"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60"/>
                  </a:ext>
                </a:extLst>
              </xdr:cNvPicPr>
            </xdr:nvPicPr>
            <xdr:blipFill rotWithShape="1">
              <a:blip xmlns:r="http://schemas.openxmlformats.org/officeDocument/2006/relationships" r:embed="rId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6"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61"/>
                  </a:ext>
                </a:extLst>
              </xdr:cNvPicPr>
            </xdr:nvPicPr>
            <xdr:blipFill rotWithShape="1">
              <a:blip xmlns:r="http://schemas.openxmlformats.org/officeDocument/2006/relationships" r:embed="rId1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62"/>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63"/>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64"/>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65"/>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66"/>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67"/>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mc:AlternateContent xmlns:mc="http://schemas.openxmlformats.org/markup-compatibility/2006">
    <mc:Choice xmlns:a14="http://schemas.microsoft.com/office/drawing/2010/main" Requires="a14">
      <xdr:twoCellAnchor editAs="oneCell">
        <xdr:from>
          <xdr:col>2</xdr:col>
          <xdr:colOff>1417320</xdr:colOff>
          <xdr:row>2</xdr:row>
          <xdr:rowOff>0</xdr:rowOff>
        </xdr:from>
        <xdr:to>
          <xdr:col>2</xdr:col>
          <xdr:colOff>1988820</xdr:colOff>
          <xdr:row>2</xdr:row>
          <xdr:rowOff>220980</xdr:rowOff>
        </xdr:to>
        <xdr:pic>
          <xdr:nvPicPr>
            <xdr:cNvPr id="6770465" name="Picture 36">
              <a:extLst>
                <a:ext uri="{FF2B5EF4-FFF2-40B4-BE49-F238E27FC236}">
                  <a16:creationId xmlns:a16="http://schemas.microsoft.com/office/drawing/2014/main" id="{1A15BBFA-A5F3-5E88-81E6-0A00823CC282}"/>
                </a:ext>
              </a:extLst>
            </xdr:cNvPr>
            <xdr:cNvPicPr preferRelativeResize="0">
              <a:picLocks noChangeArrowheads="1"/>
              <a:extLst>
                <a:ext uri="{84589F7E-364E-4C9E-8A38-B11213B215E9}">
                  <a14:cameraTool cellRange="$D$300" spid="_x0000_s6798768"/>
                </a:ext>
              </a:extLst>
            </xdr:cNvPicPr>
          </xdr:nvPicPr>
          <xdr:blipFill>
            <a:blip xmlns:r="http://schemas.openxmlformats.org/officeDocument/2006/relationships" r:embed="rId27"/>
            <a:srcRect l="77975" t="6015" r="11687" b="25102"/>
            <a:stretch>
              <a:fillRect/>
            </a:stretch>
          </xdr:blipFill>
          <xdr:spPr bwMode="auto">
            <a:xfrm>
              <a:off x="1950720" y="579120"/>
              <a:ext cx="57150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708660</xdr:colOff>
          <xdr:row>2</xdr:row>
          <xdr:rowOff>15240</xdr:rowOff>
        </xdr:from>
        <xdr:to>
          <xdr:col>2</xdr:col>
          <xdr:colOff>1272540</xdr:colOff>
          <xdr:row>2</xdr:row>
          <xdr:rowOff>220980</xdr:rowOff>
        </xdr:to>
        <xdr:pic>
          <xdr:nvPicPr>
            <xdr:cNvPr id="6770466" name="Picture 128">
              <a:extLst>
                <a:ext uri="{FF2B5EF4-FFF2-40B4-BE49-F238E27FC236}">
                  <a16:creationId xmlns:a16="http://schemas.microsoft.com/office/drawing/2014/main" id="{9B22F0A3-7AB4-9EA5-AF93-EEF15D8B6F44}"/>
                </a:ext>
              </a:extLst>
            </xdr:cNvPr>
            <xdr:cNvPicPr>
              <a:picLocks noChangeAspect="1" noChangeArrowheads="1"/>
              <a:extLst>
                <a:ext uri="{84589F7E-364E-4C9E-8A38-B11213B215E9}">
                  <a14:cameraTool cellRange="$D$271" spid="_x0000_s6798769"/>
                </a:ext>
              </a:extLst>
            </xdr:cNvPicPr>
          </xdr:nvPicPr>
          <xdr:blipFill>
            <a:blip xmlns:r="http://schemas.openxmlformats.org/officeDocument/2006/relationships" r:embed="rId3"/>
            <a:srcRect l="3596" t="15530" r="84027" b="15697"/>
            <a:stretch>
              <a:fillRect/>
            </a:stretch>
          </xdr:blipFill>
          <xdr:spPr bwMode="auto">
            <a:xfrm>
              <a:off x="1242060" y="594360"/>
              <a:ext cx="56388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2141220</xdr:colOff>
          <xdr:row>2</xdr:row>
          <xdr:rowOff>0</xdr:rowOff>
        </xdr:from>
        <xdr:to>
          <xdr:col>2</xdr:col>
          <xdr:colOff>2697480</xdr:colOff>
          <xdr:row>2</xdr:row>
          <xdr:rowOff>213360</xdr:rowOff>
        </xdr:to>
        <xdr:pic>
          <xdr:nvPicPr>
            <xdr:cNvPr id="6770467" name="Picture 129">
              <a:extLst>
                <a:ext uri="{FF2B5EF4-FFF2-40B4-BE49-F238E27FC236}">
                  <a16:creationId xmlns:a16="http://schemas.microsoft.com/office/drawing/2014/main" id="{5A74BC17-D741-C484-065D-2FBA5B78308B}"/>
                </a:ext>
              </a:extLst>
            </xdr:cNvPr>
            <xdr:cNvPicPr>
              <a:picLocks noChangeAspect="1" noChangeArrowheads="1"/>
              <a:extLst>
                <a:ext uri="{84589F7E-364E-4C9E-8A38-B11213B215E9}">
                  <a14:cameraTool cellRange="$D$322" spid="_x0000_s6798770"/>
                </a:ext>
              </a:extLst>
            </xdr:cNvPicPr>
          </xdr:nvPicPr>
          <xdr:blipFill>
            <a:blip xmlns:r="http://schemas.openxmlformats.org/officeDocument/2006/relationships" r:embed="rId3"/>
            <a:srcRect l="79047" t="10417" r="3995" b="27083"/>
            <a:stretch>
              <a:fillRect/>
            </a:stretch>
          </xdr:blipFill>
          <xdr:spPr bwMode="auto">
            <a:xfrm>
              <a:off x="2674620" y="579120"/>
              <a:ext cx="55626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1539240</xdr:colOff>
          <xdr:row>1</xdr:row>
          <xdr:rowOff>53340</xdr:rowOff>
        </xdr:from>
        <xdr:to>
          <xdr:col>3</xdr:col>
          <xdr:colOff>2110740</xdr:colOff>
          <xdr:row>1</xdr:row>
          <xdr:rowOff>251460</xdr:rowOff>
        </xdr:to>
        <xdr:pic>
          <xdr:nvPicPr>
            <xdr:cNvPr id="6770468" name="Picture 29">
              <a:extLst>
                <a:ext uri="{FF2B5EF4-FFF2-40B4-BE49-F238E27FC236}">
                  <a16:creationId xmlns:a16="http://schemas.microsoft.com/office/drawing/2014/main" id="{901A34DE-A02B-AE3C-2DF7-67EF11C9C631}"/>
                </a:ext>
              </a:extLst>
            </xdr:cNvPr>
            <xdr:cNvPicPr preferRelativeResize="0">
              <a:picLocks noChangeArrowheads="1"/>
              <a:extLst>
                <a:ext uri="{84589F7E-364E-4C9E-8A38-B11213B215E9}">
                  <a14:cameraTool cellRange="$D$177" spid="_x0000_s6798771"/>
                </a:ext>
              </a:extLst>
            </xdr:cNvPicPr>
          </xdr:nvPicPr>
          <xdr:blipFill>
            <a:blip xmlns:r="http://schemas.openxmlformats.org/officeDocument/2006/relationships" r:embed="rId6"/>
            <a:srcRect l="72157" t="5197" r="15526" b="9793"/>
            <a:stretch>
              <a:fillRect/>
            </a:stretch>
          </xdr:blipFill>
          <xdr:spPr bwMode="auto">
            <a:xfrm>
              <a:off x="5814060" y="243840"/>
              <a:ext cx="57150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2849880</xdr:colOff>
          <xdr:row>1</xdr:row>
          <xdr:rowOff>45720</xdr:rowOff>
        </xdr:from>
        <xdr:to>
          <xdr:col>3</xdr:col>
          <xdr:colOff>3398520</xdr:colOff>
          <xdr:row>1</xdr:row>
          <xdr:rowOff>236220</xdr:rowOff>
        </xdr:to>
        <xdr:pic>
          <xdr:nvPicPr>
            <xdr:cNvPr id="6770469" name="Picture 31">
              <a:extLst>
                <a:ext uri="{FF2B5EF4-FFF2-40B4-BE49-F238E27FC236}">
                  <a16:creationId xmlns:a16="http://schemas.microsoft.com/office/drawing/2014/main" id="{35214987-B121-61F4-BB93-73D610811153}"/>
                </a:ext>
              </a:extLst>
            </xdr:cNvPr>
            <xdr:cNvPicPr preferRelativeResize="0">
              <a:picLocks noChangeArrowheads="1"/>
              <a:extLst>
                <a:ext uri="{84589F7E-364E-4C9E-8A38-B11213B215E9}">
                  <a14:cameraTool cellRange="$D$224" spid="_x0000_s6798772"/>
                </a:ext>
              </a:extLst>
            </xdr:cNvPicPr>
          </xdr:nvPicPr>
          <xdr:blipFill>
            <a:blip xmlns:r="http://schemas.openxmlformats.org/officeDocument/2006/relationships" r:embed="rId3"/>
            <a:srcRect l="9740" t="7465" r="78534" b="24812"/>
            <a:stretch>
              <a:fillRect/>
            </a:stretch>
          </xdr:blipFill>
          <xdr:spPr bwMode="auto">
            <a:xfrm>
              <a:off x="7124700" y="236220"/>
              <a:ext cx="5486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2186940</xdr:colOff>
          <xdr:row>1</xdr:row>
          <xdr:rowOff>53340</xdr:rowOff>
        </xdr:from>
        <xdr:to>
          <xdr:col>3</xdr:col>
          <xdr:colOff>2773680</xdr:colOff>
          <xdr:row>1</xdr:row>
          <xdr:rowOff>251460</xdr:rowOff>
        </xdr:to>
        <xdr:pic>
          <xdr:nvPicPr>
            <xdr:cNvPr id="6770470" name="Picture 30">
              <a:extLst>
                <a:ext uri="{FF2B5EF4-FFF2-40B4-BE49-F238E27FC236}">
                  <a16:creationId xmlns:a16="http://schemas.microsoft.com/office/drawing/2014/main" id="{53F5F1A0-5145-D25A-153D-F28C9C07456E}"/>
                </a:ext>
              </a:extLst>
            </xdr:cNvPr>
            <xdr:cNvPicPr preferRelativeResize="0">
              <a:picLocks noChangeArrowheads="1"/>
              <a:extLst>
                <a:ext uri="{84589F7E-364E-4C9E-8A38-B11213B215E9}">
                  <a14:cameraTool cellRange="$D$200" spid="_x0000_s6798773"/>
                </a:ext>
              </a:extLst>
            </xdr:cNvPicPr>
          </xdr:nvPicPr>
          <xdr:blipFill>
            <a:blip xmlns:r="http://schemas.openxmlformats.org/officeDocument/2006/relationships" r:embed="rId9"/>
            <a:srcRect l="75589" t="7520" r="12634" b="20421"/>
            <a:stretch>
              <a:fillRect/>
            </a:stretch>
          </xdr:blipFill>
          <xdr:spPr bwMode="auto">
            <a:xfrm>
              <a:off x="6461760" y="243840"/>
              <a:ext cx="5867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868680</xdr:colOff>
          <xdr:row>1</xdr:row>
          <xdr:rowOff>45720</xdr:rowOff>
        </xdr:from>
        <xdr:to>
          <xdr:col>3</xdr:col>
          <xdr:colOff>1463040</xdr:colOff>
          <xdr:row>1</xdr:row>
          <xdr:rowOff>259080</xdr:rowOff>
        </xdr:to>
        <xdr:pic>
          <xdr:nvPicPr>
            <xdr:cNvPr id="6770471" name="Picture 28">
              <a:extLst>
                <a:ext uri="{FF2B5EF4-FFF2-40B4-BE49-F238E27FC236}">
                  <a16:creationId xmlns:a16="http://schemas.microsoft.com/office/drawing/2014/main" id="{5C6392F0-EC18-5758-981C-A228546A2268}"/>
                </a:ext>
              </a:extLst>
            </xdr:cNvPr>
            <xdr:cNvPicPr preferRelativeResize="0">
              <a:picLocks noChangeArrowheads="1"/>
              <a:extLst>
                <a:ext uri="{84589F7E-364E-4C9E-8A38-B11213B215E9}">
                  <a14:cameraTool cellRange="$D$150" spid="_x0000_s6798774"/>
                </a:ext>
              </a:extLst>
            </xdr:cNvPicPr>
          </xdr:nvPicPr>
          <xdr:blipFill>
            <a:blip xmlns:r="http://schemas.openxmlformats.org/officeDocument/2006/relationships" r:embed="rId9"/>
            <a:srcRect l="81039" t="4796" r="6010" b="18925"/>
            <a:stretch>
              <a:fillRect/>
            </a:stretch>
          </xdr:blipFill>
          <xdr:spPr bwMode="auto">
            <a:xfrm>
              <a:off x="5143500" y="236220"/>
              <a:ext cx="59436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259080</xdr:colOff>
          <xdr:row>1</xdr:row>
          <xdr:rowOff>45720</xdr:rowOff>
        </xdr:from>
        <xdr:to>
          <xdr:col>3</xdr:col>
          <xdr:colOff>807720</xdr:colOff>
          <xdr:row>1</xdr:row>
          <xdr:rowOff>259080</xdr:rowOff>
        </xdr:to>
        <xdr:pic>
          <xdr:nvPicPr>
            <xdr:cNvPr id="6770472" name="Picture 27">
              <a:extLst>
                <a:ext uri="{FF2B5EF4-FFF2-40B4-BE49-F238E27FC236}">
                  <a16:creationId xmlns:a16="http://schemas.microsoft.com/office/drawing/2014/main" id="{8BC82262-8860-B0E3-2BB1-DF2159FCB1A1}"/>
                </a:ext>
              </a:extLst>
            </xdr:cNvPr>
            <xdr:cNvPicPr preferRelativeResize="0">
              <a:picLocks noChangeArrowheads="1"/>
              <a:extLst>
                <a:ext uri="{84589F7E-364E-4C9E-8A38-B11213B215E9}">
                  <a14:cameraTool cellRange="$D$127" spid="_x0000_s6798775"/>
                </a:ext>
              </a:extLst>
            </xdr:cNvPicPr>
          </xdr:nvPicPr>
          <xdr:blipFill>
            <a:blip xmlns:r="http://schemas.openxmlformats.org/officeDocument/2006/relationships" r:embed="rId9"/>
            <a:srcRect l="80910" t="7497" r="7684" b="18716"/>
            <a:stretch>
              <a:fillRect/>
            </a:stretch>
          </xdr:blipFill>
          <xdr:spPr bwMode="auto">
            <a:xfrm>
              <a:off x="4533900" y="236220"/>
              <a:ext cx="548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2621280</xdr:colOff>
          <xdr:row>1</xdr:row>
          <xdr:rowOff>45720</xdr:rowOff>
        </xdr:from>
        <xdr:to>
          <xdr:col>3</xdr:col>
          <xdr:colOff>198120</xdr:colOff>
          <xdr:row>1</xdr:row>
          <xdr:rowOff>251460</xdr:rowOff>
        </xdr:to>
        <xdr:pic>
          <xdr:nvPicPr>
            <xdr:cNvPr id="6770473" name="Picture 26">
              <a:extLst>
                <a:ext uri="{FF2B5EF4-FFF2-40B4-BE49-F238E27FC236}">
                  <a16:creationId xmlns:a16="http://schemas.microsoft.com/office/drawing/2014/main" id="{F1F71157-9E5F-A8B2-D7B5-05BBF2DFABC6}"/>
                </a:ext>
              </a:extLst>
            </xdr:cNvPr>
            <xdr:cNvPicPr preferRelativeResize="0">
              <a:picLocks noChangeArrowheads="1"/>
              <a:extLst>
                <a:ext uri="{84589F7E-364E-4C9E-8A38-B11213B215E9}">
                  <a14:cameraTool cellRange="$D$96" spid="_x0000_s6798776"/>
                </a:ext>
              </a:extLst>
            </xdr:cNvPicPr>
          </xdr:nvPicPr>
          <xdr:blipFill>
            <a:blip xmlns:r="http://schemas.openxmlformats.org/officeDocument/2006/relationships" r:embed="rId3"/>
            <a:srcRect l="9196" t="1511" r="77956" b="17662"/>
            <a:stretch>
              <a:fillRect/>
            </a:stretch>
          </xdr:blipFill>
          <xdr:spPr bwMode="auto">
            <a:xfrm>
              <a:off x="3154680" y="236220"/>
              <a:ext cx="131826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1</xdr:row>
          <xdr:rowOff>45720</xdr:rowOff>
        </xdr:from>
        <xdr:to>
          <xdr:col>2</xdr:col>
          <xdr:colOff>1264920</xdr:colOff>
          <xdr:row>1</xdr:row>
          <xdr:rowOff>259080</xdr:rowOff>
        </xdr:to>
        <xdr:pic>
          <xdr:nvPicPr>
            <xdr:cNvPr id="6770474" name="Picture 24">
              <a:extLst>
                <a:ext uri="{FF2B5EF4-FFF2-40B4-BE49-F238E27FC236}">
                  <a16:creationId xmlns:a16="http://schemas.microsoft.com/office/drawing/2014/main" id="{E1589614-40CF-0AD2-E553-4718B4D72368}"/>
                </a:ext>
              </a:extLst>
            </xdr:cNvPr>
            <xdr:cNvPicPr preferRelativeResize="0">
              <a:picLocks noChangeArrowheads="1"/>
              <a:extLst>
                <a:ext uri="{84589F7E-364E-4C9E-8A38-B11213B215E9}">
                  <a14:cameraTool cellRange="$D$20" spid="_x0000_s6798777"/>
                </a:ext>
              </a:extLst>
            </xdr:cNvPicPr>
          </xdr:nvPicPr>
          <xdr:blipFill>
            <a:blip xmlns:r="http://schemas.openxmlformats.org/officeDocument/2006/relationships" r:embed="rId3"/>
            <a:srcRect l="1268" t="5405" r="88158" b="17548"/>
            <a:stretch>
              <a:fillRect/>
            </a:stretch>
          </xdr:blipFill>
          <xdr:spPr bwMode="auto">
            <a:xfrm>
              <a:off x="1219200" y="236220"/>
              <a:ext cx="57912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1356360</xdr:colOff>
          <xdr:row>1</xdr:row>
          <xdr:rowOff>45720</xdr:rowOff>
        </xdr:from>
        <xdr:to>
          <xdr:col>2</xdr:col>
          <xdr:colOff>1927860</xdr:colOff>
          <xdr:row>1</xdr:row>
          <xdr:rowOff>251460</xdr:rowOff>
        </xdr:to>
        <xdr:pic>
          <xdr:nvPicPr>
            <xdr:cNvPr id="6770475" name="Picture 23">
              <a:extLst>
                <a:ext uri="{FF2B5EF4-FFF2-40B4-BE49-F238E27FC236}">
                  <a16:creationId xmlns:a16="http://schemas.microsoft.com/office/drawing/2014/main" id="{0649BA8D-E793-C9FD-7A43-F12828BD2215}"/>
                </a:ext>
              </a:extLst>
            </xdr:cNvPr>
            <xdr:cNvPicPr preferRelativeResize="0">
              <a:picLocks noChangeArrowheads="1"/>
              <a:extLst>
                <a:ext uri="{84589F7E-364E-4C9E-8A38-B11213B215E9}">
                  <a14:cameraTool cellRange="$D$43" spid="_x0000_s6798778"/>
                </a:ext>
              </a:extLst>
            </xdr:cNvPicPr>
          </xdr:nvPicPr>
          <xdr:blipFill>
            <a:blip xmlns:r="http://schemas.openxmlformats.org/officeDocument/2006/relationships" r:embed="rId3"/>
            <a:srcRect l="26218" t="10715" r="62430" b="12151"/>
            <a:stretch>
              <a:fillRect/>
            </a:stretch>
          </xdr:blipFill>
          <xdr:spPr bwMode="auto">
            <a:xfrm>
              <a:off x="1889760" y="236220"/>
              <a:ext cx="57150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2034540</xdr:colOff>
          <xdr:row>1</xdr:row>
          <xdr:rowOff>45720</xdr:rowOff>
        </xdr:from>
        <xdr:to>
          <xdr:col>2</xdr:col>
          <xdr:colOff>2552700</xdr:colOff>
          <xdr:row>1</xdr:row>
          <xdr:rowOff>251460</xdr:rowOff>
        </xdr:to>
        <xdr:pic>
          <xdr:nvPicPr>
            <xdr:cNvPr id="6770476" name="Picture 25">
              <a:extLst>
                <a:ext uri="{FF2B5EF4-FFF2-40B4-BE49-F238E27FC236}">
                  <a16:creationId xmlns:a16="http://schemas.microsoft.com/office/drawing/2014/main" id="{0B5C4F14-0FAB-C76A-13EB-3BB9F25585F9}"/>
                </a:ext>
              </a:extLst>
            </xdr:cNvPr>
            <xdr:cNvPicPr preferRelativeResize="0">
              <a:picLocks noChangeArrowheads="1"/>
              <a:extLst>
                <a:ext uri="{84589F7E-364E-4C9E-8A38-B11213B215E9}">
                  <a14:cameraTool cellRange="$D$74" spid="_x0000_s6798779"/>
                </a:ext>
              </a:extLst>
            </xdr:cNvPicPr>
          </xdr:nvPicPr>
          <xdr:blipFill>
            <a:blip xmlns:r="http://schemas.openxmlformats.org/officeDocument/2006/relationships" r:embed="rId6"/>
            <a:srcRect l="1485" t="7822" r="87874" b="24252"/>
            <a:stretch>
              <a:fillRect/>
            </a:stretch>
          </xdr:blipFill>
          <xdr:spPr bwMode="auto">
            <a:xfrm>
              <a:off x="2567940" y="236220"/>
              <a:ext cx="51816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1973580</xdr:colOff>
          <xdr:row>2</xdr:row>
          <xdr:rowOff>7620</xdr:rowOff>
        </xdr:from>
        <xdr:to>
          <xdr:col>3</xdr:col>
          <xdr:colOff>2552700</xdr:colOff>
          <xdr:row>2</xdr:row>
          <xdr:rowOff>213360</xdr:rowOff>
        </xdr:to>
        <xdr:pic>
          <xdr:nvPicPr>
            <xdr:cNvPr id="6770477" name="Picture 41">
              <a:extLst>
                <a:ext uri="{FF2B5EF4-FFF2-40B4-BE49-F238E27FC236}">
                  <a16:creationId xmlns:a16="http://schemas.microsoft.com/office/drawing/2014/main" id="{75FF10DE-1A23-0853-9A0B-010157AC40B5}"/>
                </a:ext>
              </a:extLst>
            </xdr:cNvPr>
            <xdr:cNvPicPr preferRelativeResize="0">
              <a:picLocks noChangeArrowheads="1"/>
              <a:extLst>
                <a:ext uri="{84589F7E-364E-4C9E-8A38-B11213B215E9}">
                  <a14:cameraTool cellRange="$D$422" spid="_x0000_s6798780"/>
                </a:ext>
              </a:extLst>
            </xdr:cNvPicPr>
          </xdr:nvPicPr>
          <xdr:blipFill>
            <a:blip xmlns:r="http://schemas.openxmlformats.org/officeDocument/2006/relationships" r:embed="rId17"/>
            <a:srcRect l="78091" t="7774" r="8884" b="15053"/>
            <a:stretch>
              <a:fillRect/>
            </a:stretch>
          </xdr:blipFill>
          <xdr:spPr bwMode="auto">
            <a:xfrm>
              <a:off x="6248400" y="586740"/>
              <a:ext cx="57912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2842260</xdr:colOff>
          <xdr:row>2</xdr:row>
          <xdr:rowOff>7620</xdr:rowOff>
        </xdr:from>
        <xdr:to>
          <xdr:col>3</xdr:col>
          <xdr:colOff>411480</xdr:colOff>
          <xdr:row>2</xdr:row>
          <xdr:rowOff>213360</xdr:rowOff>
        </xdr:to>
        <xdr:pic>
          <xdr:nvPicPr>
            <xdr:cNvPr id="6770478" name="Picture 38">
              <a:extLst>
                <a:ext uri="{FF2B5EF4-FFF2-40B4-BE49-F238E27FC236}">
                  <a16:creationId xmlns:a16="http://schemas.microsoft.com/office/drawing/2014/main" id="{D62FB702-A67D-3E16-5C6B-12EA5B3F9771}"/>
                </a:ext>
              </a:extLst>
            </xdr:cNvPr>
            <xdr:cNvPicPr preferRelativeResize="0">
              <a:picLocks noChangeArrowheads="1"/>
              <a:extLst>
                <a:ext uri="{84589F7E-364E-4C9E-8A38-B11213B215E9}">
                  <a14:cameraTool cellRange="$D$350" spid="_x0000_s6798781"/>
                </a:ext>
              </a:extLst>
            </xdr:cNvPicPr>
          </xdr:nvPicPr>
          <xdr:blipFill>
            <a:blip xmlns:r="http://schemas.openxmlformats.org/officeDocument/2006/relationships" r:embed="rId3"/>
            <a:srcRect l="73042" t="13168" r="14993" b="15485"/>
            <a:stretch>
              <a:fillRect/>
            </a:stretch>
          </xdr:blipFill>
          <xdr:spPr bwMode="auto">
            <a:xfrm>
              <a:off x="3375660" y="586740"/>
              <a:ext cx="13106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548640</xdr:colOff>
          <xdr:row>2</xdr:row>
          <xdr:rowOff>7620</xdr:rowOff>
        </xdr:from>
        <xdr:to>
          <xdr:col>3</xdr:col>
          <xdr:colOff>1127760</xdr:colOff>
          <xdr:row>2</xdr:row>
          <xdr:rowOff>220980</xdr:rowOff>
        </xdr:to>
        <xdr:pic>
          <xdr:nvPicPr>
            <xdr:cNvPr id="6770479" name="Picture 39">
              <a:extLst>
                <a:ext uri="{FF2B5EF4-FFF2-40B4-BE49-F238E27FC236}">
                  <a16:creationId xmlns:a16="http://schemas.microsoft.com/office/drawing/2014/main" id="{EAE03FCD-9544-4B1B-2D01-50A2B946D96F}"/>
                </a:ext>
              </a:extLst>
            </xdr:cNvPr>
            <xdr:cNvPicPr preferRelativeResize="0">
              <a:picLocks noChangeArrowheads="1"/>
              <a:extLst>
                <a:ext uri="{84589F7E-364E-4C9E-8A38-B11213B215E9}">
                  <a14:cameraTool cellRange="$D$374" spid="_x0000_s6798782"/>
                </a:ext>
              </a:extLst>
            </xdr:cNvPicPr>
          </xdr:nvPicPr>
          <xdr:blipFill>
            <a:blip xmlns:r="http://schemas.openxmlformats.org/officeDocument/2006/relationships" r:embed="rId3"/>
            <a:srcRect l="72447" t="10529" r="14790" b="14284"/>
            <a:stretch>
              <a:fillRect/>
            </a:stretch>
          </xdr:blipFill>
          <xdr:spPr bwMode="auto">
            <a:xfrm>
              <a:off x="4823460" y="586740"/>
              <a:ext cx="57912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1264920</xdr:colOff>
          <xdr:row>2</xdr:row>
          <xdr:rowOff>0</xdr:rowOff>
        </xdr:from>
        <xdr:to>
          <xdr:col>3</xdr:col>
          <xdr:colOff>1836420</xdr:colOff>
          <xdr:row>2</xdr:row>
          <xdr:rowOff>220980</xdr:rowOff>
        </xdr:to>
        <xdr:pic>
          <xdr:nvPicPr>
            <xdr:cNvPr id="6770480" name="Picture 40">
              <a:extLst>
                <a:ext uri="{FF2B5EF4-FFF2-40B4-BE49-F238E27FC236}">
                  <a16:creationId xmlns:a16="http://schemas.microsoft.com/office/drawing/2014/main" id="{FAF2EA9E-F12B-3654-E307-F80C355EBD85}"/>
                </a:ext>
              </a:extLst>
            </xdr:cNvPr>
            <xdr:cNvPicPr preferRelativeResize="0">
              <a:picLocks noChangeArrowheads="1"/>
              <a:extLst>
                <a:ext uri="{84589F7E-364E-4C9E-8A38-B11213B215E9}">
                  <a14:cameraTool cellRange="$D$398" spid="_x0000_s6798783"/>
                </a:ext>
              </a:extLst>
            </xdr:cNvPicPr>
          </xdr:nvPicPr>
          <xdr:blipFill>
            <a:blip xmlns:r="http://schemas.openxmlformats.org/officeDocument/2006/relationships" r:embed="rId3"/>
            <a:srcRect l="73273" t="9023" r="14589" b="15648"/>
            <a:stretch>
              <a:fillRect/>
            </a:stretch>
          </xdr:blipFill>
          <xdr:spPr bwMode="auto">
            <a:xfrm>
              <a:off x="5539740" y="579120"/>
              <a:ext cx="57150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2682240</xdr:colOff>
          <xdr:row>2</xdr:row>
          <xdr:rowOff>7620</xdr:rowOff>
        </xdr:from>
        <xdr:to>
          <xdr:col>3</xdr:col>
          <xdr:colOff>3268980</xdr:colOff>
          <xdr:row>2</xdr:row>
          <xdr:rowOff>220980</xdr:rowOff>
        </xdr:to>
        <xdr:pic>
          <xdr:nvPicPr>
            <xdr:cNvPr id="6770481" name="Picture 44">
              <a:extLst>
                <a:ext uri="{FF2B5EF4-FFF2-40B4-BE49-F238E27FC236}">
                  <a16:creationId xmlns:a16="http://schemas.microsoft.com/office/drawing/2014/main" id="{52387976-8665-6397-13E3-18F4A41C9D8A}"/>
                </a:ext>
              </a:extLst>
            </xdr:cNvPr>
            <xdr:cNvPicPr preferRelativeResize="0">
              <a:picLocks noChangeArrowheads="1"/>
              <a:extLst>
                <a:ext uri="{84589F7E-364E-4C9E-8A38-B11213B215E9}">
                  <a14:cameraTool cellRange="$D$446" spid="_x0000_s6798784"/>
                </a:ext>
              </a:extLst>
            </xdr:cNvPicPr>
          </xdr:nvPicPr>
          <xdr:blipFill>
            <a:blip xmlns:r="http://schemas.openxmlformats.org/officeDocument/2006/relationships" r:embed="rId3"/>
            <a:srcRect l="77583" t="4512" r="9206" b="15834"/>
            <a:stretch>
              <a:fillRect/>
            </a:stretch>
          </xdr:blipFill>
          <xdr:spPr bwMode="auto">
            <a:xfrm>
              <a:off x="6957060" y="586740"/>
              <a:ext cx="5867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3398520</xdr:colOff>
          <xdr:row>2</xdr:row>
          <xdr:rowOff>0</xdr:rowOff>
        </xdr:from>
        <xdr:to>
          <xdr:col>3</xdr:col>
          <xdr:colOff>3985260</xdr:colOff>
          <xdr:row>2</xdr:row>
          <xdr:rowOff>220980</xdr:rowOff>
        </xdr:to>
        <xdr:pic>
          <xdr:nvPicPr>
            <xdr:cNvPr id="6770482" name="Picture 45">
              <a:extLst>
                <a:ext uri="{FF2B5EF4-FFF2-40B4-BE49-F238E27FC236}">
                  <a16:creationId xmlns:a16="http://schemas.microsoft.com/office/drawing/2014/main" id="{07DE3909-DF05-6520-4A8C-21AA012441D8}"/>
                </a:ext>
              </a:extLst>
            </xdr:cNvPr>
            <xdr:cNvPicPr preferRelativeResize="0">
              <a:picLocks noChangeArrowheads="1"/>
              <a:extLst>
                <a:ext uri="{84589F7E-364E-4C9E-8A38-B11213B215E9}">
                  <a14:cameraTool cellRange="$D$469" spid="_x0000_s6798785"/>
                </a:ext>
              </a:extLst>
            </xdr:cNvPicPr>
          </xdr:nvPicPr>
          <xdr:blipFill>
            <a:blip xmlns:r="http://schemas.openxmlformats.org/officeDocument/2006/relationships" r:embed="rId23"/>
            <a:srcRect l="89027" t="10448" r="5453" b="21927"/>
            <a:stretch>
              <a:fillRect/>
            </a:stretch>
          </xdr:blipFill>
          <xdr:spPr bwMode="auto">
            <a:xfrm>
              <a:off x="7673340" y="579120"/>
              <a:ext cx="5867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3459480</xdr:colOff>
          <xdr:row>1</xdr:row>
          <xdr:rowOff>45720</xdr:rowOff>
        </xdr:from>
        <xdr:to>
          <xdr:col>3</xdr:col>
          <xdr:colOff>3962400</xdr:colOff>
          <xdr:row>1</xdr:row>
          <xdr:rowOff>243840</xdr:rowOff>
        </xdr:to>
        <xdr:pic>
          <xdr:nvPicPr>
            <xdr:cNvPr id="6770483" name="Picture 121">
              <a:extLst>
                <a:ext uri="{FF2B5EF4-FFF2-40B4-BE49-F238E27FC236}">
                  <a16:creationId xmlns:a16="http://schemas.microsoft.com/office/drawing/2014/main" id="{89BE202D-7E5C-C596-DBD0-401E8DC1DB07}"/>
                </a:ext>
              </a:extLst>
            </xdr:cNvPr>
            <xdr:cNvPicPr>
              <a:picLocks noChangeAspect="1" noChangeArrowheads="1"/>
              <a:extLst>
                <a:ext uri="{84589F7E-364E-4C9E-8A38-B11213B215E9}">
                  <a14:cameraTool cellRange="$D$247" spid="_x0000_s6798786"/>
                </a:ext>
              </a:extLst>
            </xdr:cNvPicPr>
          </xdr:nvPicPr>
          <xdr:blipFill>
            <a:blip xmlns:r="http://schemas.openxmlformats.org/officeDocument/2006/relationships" r:embed="rId3"/>
            <a:srcRect l="51973" t="18784" r="41420" b="17647"/>
            <a:stretch>
              <a:fillRect/>
            </a:stretch>
          </xdr:blipFill>
          <xdr:spPr bwMode="auto">
            <a:xfrm>
              <a:off x="7734300" y="236220"/>
              <a:ext cx="502920" cy="19812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23" sqref="AB23:AF23"/>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1281</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1275</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1276</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1277</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1278</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1279</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46086</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1280</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1282</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75040</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25" activePane="bottomLeft" state="frozen"/>
      <selection pane="bottomLeft" activeCell="E39" sqref="E39"/>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- 620 Hershey</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2529.5940000000001</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3.2000000000000002E-3</v>
      </c>
      <c r="P15" s="580" t="s">
        <v>787</v>
      </c>
      <c r="Q15" s="1033"/>
      <c r="R15" s="1063"/>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8.0947008</v>
      </c>
      <c r="Y15" s="103">
        <f>$Y$19/$Y$18*H15</f>
        <v>34.878207607817487</v>
      </c>
      <c r="Z15" s="147">
        <f>$Y$19/$Y$18*ABS(X15)</f>
        <v>0.11161026434501595</v>
      </c>
      <c r="AA15" s="896">
        <f>IF(W15=1,input_VOS-input_VOS/(1+O15*AB15),Q15*AB15)</f>
        <v>8.0688803827752054</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2521.5251196172248</v>
      </c>
    </row>
    <row r="16" spans="1:33">
      <c r="A16" s="91"/>
      <c r="B16" s="562" t="s">
        <v>908</v>
      </c>
      <c r="C16" s="529" t="s">
        <v>40</v>
      </c>
      <c r="D16" s="841" t="s">
        <v>881</v>
      </c>
      <c r="E16" s="577" t="s">
        <v>882</v>
      </c>
      <c r="F16" s="492">
        <f>'Interactive Data Grading'!D74</f>
        <v>9</v>
      </c>
      <c r="G16" s="94"/>
      <c r="H16" s="532">
        <v>0.73699999999999999</v>
      </c>
      <c r="I16" s="269"/>
      <c r="J16" s="270" t="str">
        <f>IF('Start Page'!$AB$22="million gallons (US)","MG/Yr",IF('Start Page'!$AB$22="Megalitres (thousand cubic metres)","ML/Yr",IF('Start Page'!$AB$22="acre-feet","Acre-ft/Yr","")))</f>
        <v>MG/Yr</v>
      </c>
      <c r="K16" s="844" t="s">
        <v>881</v>
      </c>
      <c r="L16" s="607" t="s">
        <v>882</v>
      </c>
      <c r="M16" s="492">
        <f>'Interactive Data Grading'!D96</f>
        <v>10</v>
      </c>
      <c r="N16" s="270"/>
      <c r="O16" s="487">
        <v>2E-3</v>
      </c>
      <c r="P16" s="580" t="s">
        <v>787</v>
      </c>
      <c r="Q16" s="1033"/>
      <c r="R16" s="1063"/>
      <c r="S16" s="491" t="str">
        <f>IF('Start Page'!$AB$22="million gallons (US)","MG/Yr",IF('Start Page'!$AB$22="Megalitres (thousand cubic metres)","ML/Yr",IF('Start Page'!$AB$22="acre-feet","acre-ft/yr","")))</f>
        <v>MG/Yr</v>
      </c>
      <c r="T16" s="581" t="s">
        <v>1266</v>
      </c>
      <c r="U16" s="559" t="s">
        <v>922</v>
      </c>
      <c r="V16" s="91"/>
      <c r="W16" s="484">
        <f t="shared" ref="W16:W17" si="0">IF(P16="percent",1,2)</f>
        <v>1</v>
      </c>
      <c r="X16" s="102">
        <f>IF(H16&gt;0,IF(W16=1,O16*H16,Q16),0)</f>
        <v>1.474E-3</v>
      </c>
      <c r="Y16" s="103">
        <f>$Y$19/$Y$18*H16</f>
        <v>1.0161804229042877E-2</v>
      </c>
      <c r="Z16" s="147">
        <f>$Y$19/$Y$18*ABS(X16)</f>
        <v>2.0323608458085753E-5</v>
      </c>
      <c r="AA16" s="896">
        <f>IF(W16=1,input_WI-input_WI/(1+O16*AB16),Q16*AB16)</f>
        <v>-1.4769539078156591E-3</v>
      </c>
      <c r="AB16" s="535">
        <f t="shared" ref="AB16:AB17" si="1">IF(OR(T16="",T16="Select….."),0,IF(T16="Under-registration",-1,1))</f>
        <v>-1</v>
      </c>
      <c r="AC16" s="240" t="str">
        <f t="shared" ref="AC16:AC17" si="2">IF(OR(H16&lt;=0,AND(H16&gt;0,OR(AND(W16=1,O16=0),AND(W16=2,Q16=0)))),"no","yes")</f>
        <v>yes</v>
      </c>
      <c r="AD16" s="240" t="str">
        <f>IF(OR(T16="select…..",T16=""),"no","yes")</f>
        <v>yes</v>
      </c>
      <c r="AE16" s="240" t="str">
        <f t="shared" ref="AE16:AE17" si="3">IF(AND(AC16="yes",AD16="no"),"yes","no")</f>
        <v>no</v>
      </c>
      <c r="AF16" s="264">
        <f t="shared" ref="AF16:AF17" si="4">IF(AE16="yes",1,0)</f>
        <v>0</v>
      </c>
      <c r="AG16" s="896">
        <f>input_WI-AA16</f>
        <v>0.73847695390781565</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2538.4271748000001</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2522.2635965711324</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1855.0630000000001</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13.97169603743448</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2.8303962565518679E-2</v>
      </c>
      <c r="Z24" s="146"/>
    </row>
    <row r="25" spans="1:33" ht="13.35" customHeight="1">
      <c r="A25" s="91"/>
      <c r="B25" s="562" t="s">
        <v>919</v>
      </c>
      <c r="C25" s="529" t="s">
        <v>483</v>
      </c>
      <c r="D25" s="841" t="s">
        <v>881</v>
      </c>
      <c r="E25" s="577" t="s">
        <v>882</v>
      </c>
      <c r="F25" s="492">
        <f>'Interactive Data Grading'!D224</f>
        <v>10</v>
      </c>
      <c r="G25" s="94"/>
      <c r="H25" s="501">
        <v>3.758</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1858.8210000000001</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14.234999999999999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14.234999999999999</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1873.056</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649.2075965711324</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3.758</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3.758</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6</v>
      </c>
      <c r="G41" s="204"/>
      <c r="H41" s="602">
        <f>IF(OR(T41="Select…..",T41=""),"Select under/over",IF(W41=1,((H23+H25)/(1-(O41*X41)))-(H23+H25),Q41*X41))</f>
        <v>37.935122448979655</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10</v>
      </c>
      <c r="G43" s="204"/>
      <c r="H43" s="498">
        <f>IF(OR(W43=1,AND(W43=2,Q43=0)),O43*SUM(H23:H24),Q43)</f>
        <v>1.6120000000000001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1.6120000000000001</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43.30512244897966</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37.858428571428703</v>
      </c>
      <c r="Y50" s="135">
        <f>IFERROR(IF(W41=1,((H25)/(1-(O41*X41)))-(H25),Q41*H25/(H23+H25)),0)</f>
        <v>7.6693877551020417E-2</v>
      </c>
      <c r="Z50" s="923">
        <f>SUM(X50:Y50)</f>
        <v>37.935122448979726</v>
      </c>
      <c r="AA50" s="1031"/>
      <c r="AB50" s="1031"/>
      <c r="AC50" s="1031"/>
    </row>
    <row r="51" spans="1:29">
      <c r="A51" s="91"/>
      <c r="B51" s="562"/>
      <c r="C51" s="1037" t="s">
        <v>662</v>
      </c>
      <c r="D51" s="1037"/>
      <c r="E51" s="1037"/>
      <c r="F51" s="1037"/>
      <c r="G51" s="869"/>
      <c r="H51" s="868">
        <f>IFERROR(H35-H46,"")</f>
        <v>605.90247412215274</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605356.27285714494</v>
      </c>
      <c r="Y51" s="940">
        <f>Y50*input_VPC</f>
        <v>49.683827755102051</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649.2075965711324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667.20059657113245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337</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24543</v>
      </c>
      <c r="I62" s="291"/>
      <c r="J62" s="292"/>
      <c r="K62" s="101"/>
      <c r="L62" s="101"/>
      <c r="M62" s="292" t="s">
        <v>902</v>
      </c>
      <c r="N62" s="101"/>
      <c r="U62" s="256"/>
      <c r="V62" s="91"/>
    </row>
    <row r="63" spans="1:29">
      <c r="A63" s="91"/>
      <c r="B63" s="562"/>
      <c r="C63" s="529" t="s">
        <v>165</v>
      </c>
      <c r="D63" s="53"/>
      <c r="E63" s="512"/>
      <c r="F63" s="273"/>
      <c r="G63" s="53"/>
      <c r="H63" s="500">
        <f>IF(ISERROR(H62/H61),"",H62/H61)</f>
        <v>72.82789317507418</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20.6</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20.6</v>
      </c>
      <c r="X67" s="54" t="s">
        <v>130</v>
      </c>
      <c r="Y67" s="54"/>
      <c r="Z67" s="54"/>
    </row>
    <row r="68" spans="1:26">
      <c r="A68" s="91"/>
      <c r="B68" s="562" t="s">
        <v>915</v>
      </c>
      <c r="C68" s="529" t="s">
        <v>487</v>
      </c>
      <c r="D68" s="841" t="s">
        <v>881</v>
      </c>
      <c r="E68" s="577" t="s">
        <v>882</v>
      </c>
      <c r="F68" s="492">
        <f>'Interactive Data Grading'!D422</f>
        <v>8</v>
      </c>
      <c r="G68" s="53"/>
      <c r="H68" s="325">
        <v>79.099999999999994</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647.82000000000005</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8350726</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Average Operating Pressure (AOP)</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63" activePane="bottomLeft" state="frozen"/>
      <selection activeCell="B15" sqref="B15:F17"/>
      <selection pane="bottomLeft" activeCell="D269" sqref="D269"/>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- 620 Hershey</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399999999999999"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t="s">
        <v>269</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9</v>
      </c>
    </row>
    <row r="66" spans="1:18" ht="26.4" customHeight="1">
      <c r="A66" s="215"/>
      <c r="B66" s="555" t="s">
        <v>347</v>
      </c>
      <c r="C66" s="884" t="str">
        <f>WI!B37</f>
        <v>What level of data transfer errors are checked as part of the electronic calibration process?</v>
      </c>
      <c r="D66" s="334" t="s">
        <v>805</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269</v>
      </c>
      <c r="E68" s="753" t="str">
        <f t="shared" si="5"/>
        <v>Limiting</v>
      </c>
      <c r="F68" s="327"/>
      <c r="G68" s="810">
        <f>IFERROR(IF(H63&lt;7,1,IF(LEN(D68)&gt;0,1,0)),"")</f>
        <v>1</v>
      </c>
      <c r="H68" s="818">
        <f>VLOOKUP('Interactive Data Grading'!D68,WI!$G$6:$M$16,7,FALSE)</f>
        <v>7</v>
      </c>
      <c r="I68" s="819">
        <f>IF(AND(H65&gt;=7,H68&gt;=7),MAX(H68,9),IF(AND(H65&gt;3,H65&lt;7,H68&gt;3,H68&lt;7),MAX(H65,H68),IF(H65&gt;=7,MAX(7,H68),H68)))</f>
        <v>9</v>
      </c>
    </row>
    <row r="69" spans="1:18" ht="20.399999999999999"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322</v>
      </c>
      <c r="E72" s="753" t="str">
        <f t="shared" si="5"/>
        <v/>
      </c>
      <c r="F72" s="327"/>
      <c r="G72" s="810">
        <f>IFERROR(IF(H63&lt;7,1,IF(LEN(D72)&gt;0,1,0)),"")</f>
        <v>1</v>
      </c>
      <c r="H72" s="818">
        <f>VLOOKUP('Interactive Data Grading'!D72,WI!$K$6:$M$16,3,FALSE)</f>
        <v>10</v>
      </c>
      <c r="I72" s="818">
        <f>H72</f>
        <v>10</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9</v>
      </c>
      <c r="E74" s="753"/>
      <c r="F74" s="327"/>
      <c r="G74" s="810">
        <f>MIN(G63:G73)</f>
        <v>1</v>
      </c>
      <c r="H74" s="821">
        <f>MIN(H63:H73)</f>
        <v>7</v>
      </c>
      <c r="I74" s="821">
        <f t="array" ref="I74">MIN(IF(ISNUMBER(I63:I73),I63:I73))</f>
        <v>9</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373</v>
      </c>
      <c r="E93" s="753" t="str">
        <f t="shared" ref="E93:E95" si="7">IFERROR(IF(OR($D$96="",$H93=10,NOT(ISNUMBER($H93))),"",IF(H93=$H$96,"Limiting","")),"")</f>
        <v/>
      </c>
      <c r="F93" s="327"/>
      <c r="G93" s="824">
        <f>IF(OR(LEN(D93)&gt;0,D92=WIEA!$C$23),1,0)</f>
        <v>1</v>
      </c>
      <c r="H93" s="818">
        <f>VLOOKUP('Interactive Data Grading'!D93,WIEA!$D$6:$G$16,4,FALSE)</f>
        <v>10</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335</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10</v>
      </c>
      <c r="E96" s="753"/>
      <c r="F96" s="327"/>
      <c r="G96" s="824">
        <f>MIN(G92:G95)</f>
        <v>1</v>
      </c>
      <c r="H96" s="821">
        <f t="array" ref="H96">MIN(IF(ISNUMBER(H92:H95),H92:H95))</f>
        <v>10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83"/>
      <c r="O270" s="1083"/>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860</v>
      </c>
      <c r="E294" s="753" t="str">
        <f t="shared" si="17"/>
        <v/>
      </c>
      <c r="F294" s="327"/>
      <c r="G294" s="810">
        <f t="shared" si="16"/>
        <v>1</v>
      </c>
      <c r="H294" s="818">
        <f>VLOOKUP('Interactive Data Grading'!D294,CMI!$F$6:$J$16,5,FALSE)</f>
        <v>8</v>
      </c>
      <c r="I294" s="818">
        <f>H294</f>
        <v>8</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857</v>
      </c>
      <c r="E296" s="753" t="str">
        <f t="shared" si="17"/>
        <v>Limiting</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6</v>
      </c>
      <c r="E300" s="753"/>
      <c r="F300" s="327"/>
      <c r="G300" s="810">
        <f>MIN(G290:G299)</f>
        <v>1</v>
      </c>
      <c r="H300" s="821">
        <f t="array" ref="H300">MIN(IF(ISNUMBER(H291:H297),H291:H297))</f>
        <v>6</v>
      </c>
      <c r="I300" s="821">
        <f t="array" ref="I300">MIN(IF(ISNUMBER(I290:I299),I290:I299))</f>
        <v>6</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745</v>
      </c>
      <c r="E321" s="753" t="str">
        <f>IF(OR($D$322=10,$D$322=3),"",IFERROR(IF(H321=MIN($H$320:$H$321),"Limiting",""),""))</f>
        <v/>
      </c>
      <c r="F321" s="327"/>
      <c r="H321" s="818">
        <f>VLOOKUP('Interactive Data Grading'!D321,UC!$D$6:$E$15,2,FALSE)</f>
        <v>10</v>
      </c>
      <c r="I321" s="819"/>
    </row>
    <row r="322" spans="1:18" ht="27.6" customHeight="1">
      <c r="A322" s="215"/>
      <c r="B322" s="215"/>
      <c r="C322" s="328" t="s">
        <v>313</v>
      </c>
      <c r="D322" s="895">
        <f>IFERROR((IF(D319=UC!A3,3,H322)),"")</f>
        <v>10</v>
      </c>
      <c r="E322" s="753"/>
      <c r="F322" s="327"/>
      <c r="H322" s="821">
        <f>MIN(H320:H321)</f>
        <v>10</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639</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- 620 Hershey</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95</v>
      </c>
      <c r="BS6" s="710"/>
      <c r="BT6" s="709"/>
      <c r="BU6" s="711"/>
      <c r="BV6" s="711"/>
      <c r="BW6" s="711"/>
      <c r="BX6" s="58"/>
      <c r="BY6" s="58"/>
    </row>
    <row r="7" spans="1:77" s="244" customFormat="1" ht="12.9" customHeight="1">
      <c r="A7" s="243"/>
      <c r="B7" s="335"/>
      <c r="C7" s="58"/>
      <c r="D7" s="247"/>
      <c r="E7" s="852"/>
      <c r="F7" s="247"/>
      <c r="G7" s="247"/>
      <c r="H7" s="678"/>
      <c r="I7" s="792" t="s">
        <v>237</v>
      </c>
      <c r="J7" s="1109">
        <f>BR6</f>
        <v>95</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95</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103.73333333333333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result is above 90th %ile</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44.158741697050601</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44.158741697050601</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44.158741697050601</v>
      </c>
      <c r="AB18" s="1102"/>
      <c r="AC18" s="1102"/>
      <c r="AD18" s="871" t="str">
        <f>BD13</f>
        <v>$/conn/year</v>
      </c>
      <c r="AE18" s="872"/>
      <c r="AF18" s="873"/>
      <c r="AG18" s="873"/>
      <c r="AH18" s="874"/>
      <c r="AI18" s="874"/>
      <c r="AJ18" s="872"/>
      <c r="AK18" s="1102">
        <f>BS22</f>
        <v>28.165760366902987</v>
      </c>
      <c r="AL18" s="1102"/>
      <c r="AM18" s="1102"/>
      <c r="AN18" s="871" t="str">
        <f>BD13</f>
        <v>$/conn/year</v>
      </c>
      <c r="AO18" s="872"/>
      <c r="AP18" s="872"/>
      <c r="AQ18" s="872"/>
      <c r="AR18" s="872"/>
      <c r="AS18" s="872"/>
      <c r="AT18" s="872"/>
      <c r="AU18" s="1102">
        <f>BS29</f>
        <v>15.99298133014762</v>
      </c>
      <c r="AV18" s="1102"/>
      <c r="AW18" s="1102"/>
      <c r="AX18" s="871" t="str">
        <f>BD13</f>
        <v>$/conn/year</v>
      </c>
      <c r="AY18" s="701"/>
      <c r="AZ18" s="247"/>
      <c r="BA18" s="247"/>
      <c r="BB18" s="342"/>
      <c r="BC18" s="109"/>
      <c r="BD18" s="58" t="s">
        <v>706</v>
      </c>
      <c r="BE18" s="234">
        <f>(((5.41*Worksheet!H61)+(0.15*Worksheet!H62)+(7.5*(Worksheet!H62*Worksheet!W67/5280)))*Worksheet!H68)/1000000*365</f>
        <v>179.66104034235792</v>
      </c>
      <c r="BN18" s="659"/>
      <c r="BO18" s="716" t="s">
        <v>1039</v>
      </c>
      <c r="BP18" s="718">
        <f>BQ18-BQ17</f>
        <v>8.9525318444022357</v>
      </c>
      <c r="BQ18" s="900">
        <f t="shared" si="0"/>
        <v>18.283980813778896</v>
      </c>
      <c r="BR18" s="716" t="s">
        <v>779</v>
      </c>
      <c r="BS18" s="720">
        <f>SUM(BP16:BP20)-SUM(BS16,BS17)</f>
        <v>70.519236889685516</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551.35876452346827</v>
      </c>
      <c r="BF19" s="233">
        <f>BE19*325851.427242/Worksheet!H62/365</f>
        <v>20.05549559284632</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1106.9346092175001</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28.165760366902987</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72.470804282685563</v>
      </c>
      <c r="AB29" s="1103"/>
      <c r="AC29" s="1103"/>
      <c r="AD29" s="870" t="str">
        <f>BD10</f>
        <v>gal/conn/day</v>
      </c>
      <c r="AE29" s="870"/>
      <c r="AF29" s="875"/>
      <c r="AG29" s="875"/>
      <c r="AH29" s="700"/>
      <c r="AI29" s="700"/>
      <c r="AJ29" s="700"/>
      <c r="AK29" s="1103">
        <f>BS43</f>
        <v>4.8341348283867074</v>
      </c>
      <c r="AL29" s="1103"/>
      <c r="AM29" s="1103"/>
      <c r="AN29" s="871" t="str">
        <f>BD10</f>
        <v>gal/conn/day</v>
      </c>
      <c r="AO29" s="700"/>
      <c r="AP29" s="700"/>
      <c r="AQ29" s="700"/>
      <c r="AR29" s="700"/>
      <c r="AS29" s="700"/>
      <c r="AT29" s="700"/>
      <c r="AU29" s="1098">
        <f>BS55</f>
        <v>67.636669454298854</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15.99298133014762</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15.99298133014762</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79.099999999999994</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54.532949086388399</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72.470804282685563</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72.470804282685563</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175.82878390847708</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3.3724755960867143</v>
      </c>
      <c r="AI41" s="1097"/>
      <c r="AJ41" s="1097"/>
      <c r="AK41" s="870" t="s">
        <v>1048</v>
      </c>
      <c r="AL41" s="799"/>
      <c r="AM41" s="800"/>
      <c r="AN41" s="796"/>
      <c r="AO41" s="796"/>
      <c r="AP41" s="796"/>
      <c r="AQ41" s="796"/>
      <c r="AR41" s="796"/>
      <c r="AS41" s="1096">
        <f>BS69</f>
        <v>4925.8361377354795</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179.66104034235792</v>
      </c>
      <c r="AL43" s="1095"/>
      <c r="AM43" s="1095"/>
      <c r="AN43" s="1095"/>
      <c r="AO43" s="916" t="str">
        <f>BD7</f>
        <v>MG/Yr</v>
      </c>
      <c r="AP43" s="700"/>
      <c r="AQ43" s="700"/>
      <c r="AR43" s="700"/>
      <c r="AS43" s="1095">
        <f>IF(BG19=1,BF19,IFERROR(AK43*1000000/Worksheet!H62/365,""))</f>
        <v>20.05549559284632</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4.8341348283867074</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4.8341348283867074</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27.546727766866464</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43.30512244897966</v>
      </c>
      <c r="J49" s="1090"/>
      <c r="K49" s="1090"/>
      <c r="L49" s="1090"/>
      <c r="M49" s="683"/>
      <c r="N49" s="1091">
        <f>IF(OR(ISBLANK('Start Page'!$AB$22),ISBLANK(Worksheet!J76)),"",(SUM(Worksheet!H43+Worksheet!H39+Worksheet!X50)*Worksheet!H76)*INDEX(Sheet1!B2:D4,MATCH('Start Page'!AB22,Sheet1!A2:A4,0),MATCH(Worksheet!J76,Sheet1!B1:D1,0))+Worksheet!Y50*Worksheet!H77)</f>
        <v>691272.25668490003</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605.90247412215274</v>
      </c>
      <c r="J50" s="1090"/>
      <c r="K50" s="1090"/>
      <c r="L50" s="1090"/>
      <c r="M50" s="683"/>
      <c r="N50" s="1091">
        <f>IFERROR(IF(Worksheet!H41="Select under/over","",IF(ISBLANK('Start Page'!AB22),"",Worksheet!H51*(IF(BD29=FALSE,Worksheet!H77,IF(BD29=TRUE,Worksheet!H76*INDEX(Sheet1!B2:D4,MATCH('Start Page'!AB22,Sheet1!A2:A4,0),MATCH(Worksheet!J76,Sheet1!B1:D1,0)),""))))),"")</f>
        <v>392515.74078581302</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17.992999999999999</v>
      </c>
      <c r="J51" s="1090"/>
      <c r="K51" s="1090"/>
      <c r="L51" s="1090"/>
      <c r="M51" s="683"/>
      <c r="N51" s="1091">
        <f>IFERROR(IF(SUM(Sheet1!D90:D91)=0,"",SUM(Sheet1!D90:D91)),"")</f>
        <v>11656.225260000001</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667.20059657113245</v>
      </c>
      <c r="J52" s="1090"/>
      <c r="K52" s="1090"/>
      <c r="L52" s="1090"/>
      <c r="M52" s="683"/>
      <c r="N52" s="1091">
        <f>IF(SUM(N49:N51)=0,"",SUM(N49:N51))</f>
        <v>1095444.222730713</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67.636669454298854</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67.636669454298854</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161.38236289491414</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3.3724755960867143</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3.3724755960867143</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7.8937021310825273</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4925.8361377354795</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4925.8361377354795</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7125.2327719650239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26.765808526427506</v>
      </c>
      <c r="BQ83" s="733">
        <f>BP83+BQ78</f>
        <v>79.099999999999994</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- 620 Hershey</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667 MG/Yr</v>
      </c>
    </row>
    <row r="79" spans="1:6" ht="13.8">
      <c r="B79" s="52"/>
      <c r="C79" s="52"/>
      <c r="D79" s="52"/>
      <c r="E79" s="9" t="str">
        <f>IFERROR("Total Cost of NRW = $"&amp;TEXT(SUM(D90,D91,D94,D95,D96,D97,D99),"#,###")&amp;"/Yr","")</f>
        <v>Total Cost of NRW = $1,095,444/Yr</v>
      </c>
      <c r="F79" s="52"/>
    </row>
    <row r="80" spans="1:6">
      <c r="A80"/>
      <c r="B80"/>
      <c r="C80" s="53" t="str">
        <f>"Volume ("&amp;Worksheet!J15&amp;")"</f>
        <v>Volume (MG/Yr)</v>
      </c>
      <c r="D80" s="53" t="s">
        <v>147</v>
      </c>
      <c r="E80" s="94" t="s">
        <v>1085</v>
      </c>
      <c r="F80"/>
    </row>
    <row r="81" spans="1:6">
      <c r="A81" s="46" t="s">
        <v>127</v>
      </c>
      <c r="B81" s="46"/>
      <c r="C81" s="122">
        <f>IF(Dashboard!BO$2&gt;0,"",Worksheet!H15)</f>
        <v>2529.5940000000001</v>
      </c>
      <c r="D81" s="123">
        <f>IF(Dashboard!BO$2&gt;0,"",C81*(Worksheet!$H$77))</f>
        <v>1638721.5850800001</v>
      </c>
      <c r="E81" s="605">
        <f>D81</f>
        <v>1638721.5850800001</v>
      </c>
      <c r="F81" s="84" t="s">
        <v>1084</v>
      </c>
    </row>
    <row r="82" spans="1:6">
      <c r="A82" s="46" t="str">
        <f>A81&amp;" MA"</f>
        <v>Vol. from own sources: MA</v>
      </c>
      <c r="B82" s="46"/>
      <c r="C82" s="122">
        <f>IF(Dashboard!BO$2&gt;0,"",Worksheet!X15)</f>
        <v>8.0947008</v>
      </c>
      <c r="D82" s="123">
        <f>IF(Dashboard!BO$2&gt;0,"",C82*(Worksheet!$H$77))</f>
        <v>5243.9090722560004</v>
      </c>
      <c r="E82" s="605">
        <f t="shared" ref="E82:E100" si="0">D82</f>
        <v>5243.9090722560004</v>
      </c>
      <c r="F82"/>
    </row>
    <row r="83" spans="1:6">
      <c r="A83" t="s">
        <v>0</v>
      </c>
      <c r="B83"/>
      <c r="C83" s="122">
        <f>IF(Dashboard!BO$2&gt;0,"",Worksheet!H16)</f>
        <v>0.73699999999999999</v>
      </c>
      <c r="D83" s="123">
        <f>IF(Dashboard!BO$2&gt;0,"",C83*(Worksheet!$H$77))</f>
        <v>477.44334000000003</v>
      </c>
      <c r="E83" s="605">
        <f t="shared" si="0"/>
        <v>477.44334000000003</v>
      </c>
      <c r="F83"/>
    </row>
    <row r="84" spans="1:6">
      <c r="A84" t="str">
        <f>A83&amp;" MA"</f>
        <v>Water imported: MA</v>
      </c>
      <c r="B84"/>
      <c r="C84" s="122">
        <f>IF(Dashboard!BO$2&gt;0,"",Worksheet!X16)</f>
        <v>1.474E-3</v>
      </c>
      <c r="D84" s="123">
        <f>IF(Dashboard!BO$2&gt;0,"",C84*(Worksheet!$H$77))</f>
        <v>0.9548866800000001</v>
      </c>
      <c r="E84" s="605">
        <f t="shared" si="0"/>
        <v>0.9548866800000001</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2522.2635965711324</v>
      </c>
      <c r="D87" s="123">
        <f>IF(Dashboard!BO$2&gt;0,"",C87*(Worksheet!$H$77))</f>
        <v>1633972.8031307112</v>
      </c>
      <c r="E87" s="605">
        <f t="shared" si="0"/>
        <v>1633972.8031307112</v>
      </c>
      <c r="F87"/>
    </row>
    <row r="88" spans="1:6">
      <c r="A88" s="158" t="s">
        <v>1269</v>
      </c>
      <c r="B88"/>
      <c r="C88" s="122">
        <f>IF(Dashboard!BO$2&gt;0,"",Worksheet!H23)</f>
        <v>1855.0630000000001</v>
      </c>
      <c r="D88" s="123">
        <f>IF(Dashboard!BO$2&gt;0,"",C88*(Worksheet!$H$76*1000))</f>
        <v>29662457.370000001</v>
      </c>
      <c r="E88" s="605">
        <f t="shared" si="0"/>
        <v>29662457.370000001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3.758</v>
      </c>
      <c r="D90" s="951">
        <f>IF(Dashboard!BO$2&gt;0,"",IF(ISBLANK('Start Page'!AB22),"",IF(AND(ISBLANK(Worksheet!H77),Worksheet!Z77&lt;&gt;1),"",Worksheet!H25*(IF(Dashboard!BD29=FALSE,Worksheet!H77,IF(Dashboard!BD29=TRUE,Worksheet!H76*INDEX(Sheet1!B2:D4,MATCH('Start Page'!AB22,Sheet1!A2:A4,0),MATCH(Worksheet!J76,Sheet1!B1:D1,0)),""))))))</f>
        <v>2434.50756</v>
      </c>
      <c r="E90" s="952">
        <f t="shared" si="0"/>
        <v>2434.50756</v>
      </c>
      <c r="F90"/>
    </row>
    <row r="91" spans="1:6">
      <c r="A91" s="953" t="str">
        <f>"Unbilled Unmetered (UUAC) valued at "&amp;A76&amp;""</f>
        <v xml:space="preserve">Unbilled Unmetered (UUAC) valued at </v>
      </c>
      <c r="B91" s="949"/>
      <c r="C91" s="950">
        <f>IF(Dashboard!BO$2&gt;0,"",Worksheet!H26)</f>
        <v>14.234999999999999</v>
      </c>
      <c r="D91" s="951">
        <f>IF(Dashboard!BO$2&gt;0,"",IF(ISBLANK('Start Page'!AB22),"",IF(AND(ISBLANK(Worksheet!H77),Worksheet!Z77&lt;&gt;1),"",Worksheet!H26*(IF(Dashboard!BD29=FALSE,Worksheet!H77,IF(Dashboard!BD29=TRUE,Worksheet!H76*INDEX(Sheet1!B2:D4,MATCH('Start Page'!AB22,Sheet1!A2:A4,0),MATCH(Worksheet!J76,Sheet1!B1:D1,0)),""))))))</f>
        <v>9221.7177000000011</v>
      </c>
      <c r="E91" s="952">
        <f t="shared" si="0"/>
        <v>9221.7177000000011</v>
      </c>
      <c r="F91"/>
    </row>
    <row r="92" spans="1:6">
      <c r="A92" s="158" t="s">
        <v>2</v>
      </c>
      <c r="B92" s="125" t="s">
        <v>239</v>
      </c>
      <c r="C92" s="122">
        <f>IF(Dashboard!BO$2&gt;0,"",Worksheet!H30)</f>
        <v>1873.056</v>
      </c>
      <c r="D92" s="123">
        <f>IF(Dashboard!BO$2&gt;0,"",C92*(Worksheet!$H$76*1000))</f>
        <v>29950165.440000001</v>
      </c>
      <c r="E92" s="605">
        <f t="shared" si="0"/>
        <v>29950165.440000001</v>
      </c>
      <c r="F92"/>
    </row>
    <row r="93" spans="1:6">
      <c r="A93" t="s">
        <v>51</v>
      </c>
      <c r="B93"/>
      <c r="C93" s="122">
        <f>IF(Dashboard!BO$2&gt;0,"",Worksheet!H35)</f>
        <v>649.2075965711324</v>
      </c>
      <c r="D93" s="123"/>
      <c r="E93" s="605">
        <f t="shared" si="0"/>
        <v>0</v>
      </c>
      <c r="F93"/>
    </row>
    <row r="94" spans="1:6">
      <c r="A94" s="223" t="s">
        <v>678</v>
      </c>
      <c r="B94" s="46"/>
      <c r="C94" s="126">
        <f>IF(Dashboard!BO$2&gt;0,"",Worksheet!H43)</f>
        <v>1.6120000000000001</v>
      </c>
      <c r="D94" s="127">
        <f>IF(Dashboard!BO$2&gt;0,"",IF(ISBLANK('Start Page'!AB22),"",IF(AND(ISBLANK(Worksheet!H77),Worksheet!Z77&lt;&gt;1),"",C94*Worksheet!H76*INDEX(Sheet1!B2:D4,MATCH('Start Page'!AB22,Sheet1!A2:A4,0),MATCH(Worksheet!J76,Sheet1!B1:D1,0)))))</f>
        <v>25775.88</v>
      </c>
      <c r="E94" s="606">
        <f t="shared" si="0"/>
        <v>25775.88</v>
      </c>
      <c r="F94" s="128"/>
    </row>
    <row r="95" spans="1:6">
      <c r="A95" s="935" t="s">
        <v>679</v>
      </c>
      <c r="B95" s="934"/>
      <c r="C95" s="936">
        <f>Worksheet!X50</f>
        <v>37.858428571428703</v>
      </c>
      <c r="D95" s="937">
        <f>IF(Dashboard!BO$2&gt;0,"",IF(ISBLANK('Start Page'!AB22),"",IF(AND(ISBLANK(Worksheet!H77),Worksheet!Z77&lt;&gt;1),"",C95*Worksheet!H76*INDEX(Sheet1!B2:D4,MATCH('Start Page'!AB22,Sheet1!A2:A4,0),MATCH(Worksheet!J76,Sheet1!B1:D1,0)))))</f>
        <v>605356.27285714494</v>
      </c>
      <c r="E95" s="938">
        <f t="shared" si="0"/>
        <v>605356.27285714494</v>
      </c>
      <c r="F95" s="128"/>
    </row>
    <row r="96" spans="1:6">
      <c r="A96" s="935" t="s">
        <v>1271</v>
      </c>
      <c r="B96" s="934"/>
      <c r="C96" s="936">
        <f>Worksheet!Y50</f>
        <v>7.6693877551020417E-2</v>
      </c>
      <c r="D96" s="937">
        <f>C96*input_VPC</f>
        <v>49.683827755102051</v>
      </c>
      <c r="E96" s="938">
        <f t="shared" si="0"/>
        <v>49.683827755102051</v>
      </c>
      <c r="F96" s="941" t="s">
        <v>1273</v>
      </c>
    </row>
    <row r="97" spans="1:7">
      <c r="A97" s="223" t="s">
        <v>680</v>
      </c>
      <c r="B97" s="46"/>
      <c r="C97" s="126">
        <f>IF(Dashboard!BO$2&gt;0,"",Worksheet!H39)</f>
        <v>3.758</v>
      </c>
      <c r="D97" s="127">
        <f>IF(Dashboard!BO$2&gt;0,"",IF(ISBLANK('Start Page'!AB22),"",IF(AND(ISBLANK(Worksheet!H77),Worksheet!Z77&lt;&gt;1),"",C97*Worksheet!H76*INDEX(Sheet1!B2:D4,MATCH('Start Page'!AB22,Sheet1!A2:A4,0),MATCH(Worksheet!J76,Sheet1!B1:D1,0)))))</f>
        <v>60090.42</v>
      </c>
      <c r="E97" s="606">
        <f t="shared" si="0"/>
        <v>60090.42</v>
      </c>
      <c r="F97" s="128"/>
    </row>
    <row r="98" spans="1:7">
      <c r="A98" s="945" t="s">
        <v>42</v>
      </c>
      <c r="B98" s="945"/>
      <c r="C98" s="946">
        <f>IF(Dashboard!BO$2&gt;0,"",Worksheet!H46)</f>
        <v>43.30512244897966</v>
      </c>
      <c r="D98" s="947">
        <f>IF(Dashboard!BO$2&gt;0,"",SUM(D94:D97))</f>
        <v>691272.25668490015</v>
      </c>
      <c r="E98" s="605">
        <f t="shared" si="0"/>
        <v>691272.25668490015</v>
      </c>
      <c r="F98"/>
    </row>
    <row r="99" spans="1:7">
      <c r="A99" s="54" t="str">
        <f>"Real Losses valued at "&amp;A76&amp;""</f>
        <v xml:space="preserve">Real Losses valued at </v>
      </c>
      <c r="B99" s="46"/>
      <c r="C99" s="126">
        <f>IF(Dashboard!BO$2&gt;0,"",Worksheet!H51)</f>
        <v>605.90247412215274</v>
      </c>
      <c r="D99" s="939">
        <f>IF(Dashboard!BO$2&gt;0,"",Dashboard!N50)</f>
        <v>392515.74078581302</v>
      </c>
      <c r="E99" s="606">
        <f t="shared" si="0"/>
        <v>392515.74078581302</v>
      </c>
      <c r="F99" s="605"/>
    </row>
    <row r="100" spans="1:7">
      <c r="A100" t="s">
        <v>72</v>
      </c>
      <c r="B100"/>
      <c r="C100" s="122">
        <f>IF(Dashboard!BO$2&gt;0,"",Worksheet!H57)</f>
        <v>667.20059657113245</v>
      </c>
      <c r="D100" s="124">
        <f>IF(Dashboard!BO$2&gt;0,"",D98+D99+D90+D91)</f>
        <v>1095444.2227307132</v>
      </c>
      <c r="E100" s="605">
        <f t="shared" si="0"/>
        <v>1095444.2227307132</v>
      </c>
      <c r="F100"/>
      <c r="G100" s="129"/>
    </row>
    <row r="101" spans="1:7">
      <c r="A101" s="942"/>
    </row>
    <row r="102" spans="1:7">
      <c r="A102" s="942" t="s">
        <v>1272</v>
      </c>
      <c r="C102" s="943">
        <f>C95+C96</f>
        <v>37.935122448979726</v>
      </c>
      <c r="D102" s="129">
        <f>D95+D96</f>
        <v>605405.9566849001</v>
      </c>
      <c r="E102" s="129">
        <f>E95+E96</f>
        <v>605405.9566849001</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- 620 Hershey</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1855.0630000000001</v>
      </c>
      <c r="H12" s="362"/>
      <c r="I12" s="5"/>
      <c r="K12" s="898"/>
    </row>
    <row r="13" spans="2:16" ht="22.5" customHeight="1">
      <c r="B13" s="1133"/>
      <c r="C13" s="363"/>
      <c r="D13" s="360"/>
      <c r="E13" s="1142"/>
      <c r="F13" s="365">
        <f>Worksheet!H23+Worksheet!H24</f>
        <v>1855.0630000000001</v>
      </c>
      <c r="G13" s="366" t="s">
        <v>1090</v>
      </c>
      <c r="H13" s="367">
        <f>SUM(G12+G14)</f>
        <v>1855.0630000000001</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1873.056</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3.758</v>
      </c>
      <c r="H16" s="1141"/>
      <c r="I16" s="5"/>
      <c r="K16" s="46"/>
    </row>
    <row r="17" spans="2:16" ht="22.5" customHeight="1">
      <c r="B17" s="377">
        <f>Worksheet!AG15</f>
        <v>2521.5251196172248</v>
      </c>
      <c r="C17" s="378"/>
      <c r="D17" s="379"/>
      <c r="E17" s="250"/>
      <c r="F17" s="380">
        <f>Worksheet!H25+Worksheet!H26</f>
        <v>17.992999999999999</v>
      </c>
      <c r="G17" s="364" t="s">
        <v>1092</v>
      </c>
      <c r="H17" s="362"/>
      <c r="I17" s="5"/>
      <c r="K17" s="46"/>
      <c r="L17" s="121"/>
      <c r="M17" s="121"/>
      <c r="N17" s="121"/>
      <c r="O17" s="121"/>
      <c r="P17" s="121"/>
    </row>
    <row r="18" spans="2:16" ht="15.75" customHeight="1">
      <c r="B18" s="375"/>
      <c r="C18" s="1154" t="s">
        <v>763</v>
      </c>
      <c r="D18" s="360"/>
      <c r="E18" s="381"/>
      <c r="F18" s="370"/>
      <c r="G18" s="382">
        <f>Worksheet!H26</f>
        <v>14.234999999999999</v>
      </c>
      <c r="H18" s="362"/>
      <c r="I18" s="5"/>
      <c r="K18" s="46"/>
    </row>
    <row r="19" spans="2:16" ht="22.5" customHeight="1">
      <c r="B19" s="375"/>
      <c r="C19" s="1154"/>
      <c r="D19" s="383" t="s">
        <v>116</v>
      </c>
      <c r="E19" s="356"/>
      <c r="F19" s="384"/>
      <c r="G19" s="600" t="s">
        <v>695</v>
      </c>
      <c r="H19" s="385">
        <f>Worksheet!H25+Worksheet!H26+Worksheet!H46+Worksheet!H51</f>
        <v>667.20059657113234</v>
      </c>
      <c r="I19" s="5"/>
      <c r="K19" s="46"/>
      <c r="L19" s="121"/>
      <c r="M19" s="121"/>
      <c r="N19" s="121"/>
      <c r="O19" s="121"/>
      <c r="P19" s="121"/>
    </row>
    <row r="20" spans="2:16" ht="15.75" customHeight="1">
      <c r="B20" s="375"/>
      <c r="C20" s="386">
        <f>B17+B27</f>
        <v>2522.2635965711324</v>
      </c>
      <c r="D20" s="360"/>
      <c r="E20" s="250"/>
      <c r="F20" s="387" t="s">
        <v>52</v>
      </c>
      <c r="G20" s="376">
        <f>Worksheet!H39</f>
        <v>3.758</v>
      </c>
      <c r="H20" s="362"/>
      <c r="I20" s="5"/>
      <c r="K20" s="46"/>
    </row>
    <row r="21" spans="2:16" ht="14.25" customHeight="1">
      <c r="B21" s="388"/>
      <c r="C21" s="389"/>
      <c r="D21" s="386">
        <f>Worksheet!H19</f>
        <v>2522.2635965711324</v>
      </c>
      <c r="E21" s="390"/>
      <c r="F21" s="380">
        <f>Worksheet!H46</f>
        <v>43.30512244897966</v>
      </c>
      <c r="G21" s="364" t="s">
        <v>694</v>
      </c>
      <c r="H21" s="362"/>
      <c r="I21" s="5"/>
      <c r="K21" s="46"/>
      <c r="L21" s="121"/>
      <c r="M21" s="121"/>
      <c r="N21" s="121"/>
      <c r="O21" s="121"/>
      <c r="P21" s="121"/>
    </row>
    <row r="22" spans="2:16" ht="15.75" customHeight="1">
      <c r="B22" s="375"/>
      <c r="C22" s="359"/>
      <c r="D22" s="360"/>
      <c r="E22" s="250"/>
      <c r="F22" s="390"/>
      <c r="G22" s="391">
        <f>Worksheet!H41</f>
        <v>37.935122448979655</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1.6120000000000001</v>
      </c>
      <c r="H24" s="362"/>
      <c r="I24" s="5"/>
      <c r="K24" s="46"/>
    </row>
    <row r="25" spans="2:16" ht="26.25" customHeight="1">
      <c r="B25" s="1132" t="s">
        <v>1087</v>
      </c>
      <c r="C25" s="363"/>
      <c r="D25" s="360"/>
      <c r="E25" s="393">
        <f>Worksheet!H53</f>
        <v>649.2075965711324</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0.73847695390781565</v>
      </c>
      <c r="C27" s="378"/>
      <c r="D27" s="360"/>
      <c r="E27" s="250"/>
      <c r="F27" s="380">
        <f>Worksheet!H51</f>
        <v>605.90247412215274</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- 620 Hershey</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34.878207607817487</v>
      </c>
      <c r="AF98" s="40">
        <f t="shared" ref="AF98:AF103" si="0">AE98</f>
        <v>34.878207607817487</v>
      </c>
      <c r="AG98" s="40">
        <f>IF(AE98&lt;&gt;0,AF98/10,0)</f>
        <v>3.4878207607817489</v>
      </c>
      <c r="AH98" s="40">
        <f>IFERROR(AD98*AG98,0)</f>
        <v>34.878207607817487</v>
      </c>
      <c r="AI98" s="40">
        <f t="shared" ref="AI98:AI117" si="1">IF(AG98=0,0,AF98-AH98)</f>
        <v>0</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0.11161026434501595</v>
      </c>
      <c r="AF99" s="40">
        <f t="shared" si="0"/>
        <v>0.11161026434501595</v>
      </c>
      <c r="AG99" s="40">
        <f t="shared" ref="AG99:AG117" si="3">IF(AE99&lt;&gt;0,AF99/10,0)</f>
        <v>1.1161026434501595E-2</v>
      </c>
      <c r="AH99" s="40">
        <f t="shared" ref="AH99:AH106" si="4">IFERROR(AD99*AG99,0)</f>
        <v>0.11161026434501595</v>
      </c>
      <c r="AI99" s="40">
        <f t="shared" si="1"/>
        <v>0</v>
      </c>
      <c r="AJ99">
        <f t="array" aca="1" ref="AJ99" ca="1">SUM(1*(AI99&lt;$AI$98:$AI$117))+1+IF(ROW(AI99)-ROW($AI$98)=0,0,SUM(1*(AI99=OFFSET($AI$98,0,0,INDEX(ROW(AI99)-ROW($AI$98)+1,1)-1,1))))</f>
        <v>6</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9</v>
      </c>
      <c r="AE100" s="64">
        <f>Worksheet!Y16</f>
        <v>1.0161804229042877E-2</v>
      </c>
      <c r="AF100" s="40">
        <f t="shared" si="0"/>
        <v>1.0161804229042877E-2</v>
      </c>
      <c r="AG100" s="40">
        <f t="shared" si="3"/>
        <v>1.0161804229042878E-3</v>
      </c>
      <c r="AH100" s="40">
        <f t="shared" si="4"/>
        <v>9.1456238061385902E-3</v>
      </c>
      <c r="AI100" s="40">
        <f t="shared" si="1"/>
        <v>1.0161804229042865E-3</v>
      </c>
      <c r="AJ100">
        <f t="array" aca="1" ref="AJ100" ca="1">SUM(1*(AI100&lt;$AI$98:$AI$117))+1+IF(ROW(AI100)-ROW($AI$98)=0,0,SUM(1*(AI100=OFFSET($AI$98,0,0,INDEX(ROW(AI100)-ROW($AI$98)+1,1)-1,1))))</f>
        <v>4</v>
      </c>
      <c r="AK100" s="46" t="str">
        <f t="shared" si="5"/>
        <v>Water Imported (WI)</v>
      </c>
      <c r="AL100">
        <f t="shared" si="6"/>
        <v>1</v>
      </c>
      <c r="AM100">
        <f t="shared" si="7"/>
        <v>1</v>
      </c>
      <c r="AN100">
        <f t="shared" si="2"/>
        <v>0</v>
      </c>
    </row>
    <row r="101" spans="28:40">
      <c r="AC101" s="220" t="s">
        <v>702</v>
      </c>
      <c r="AD101" s="41">
        <f>IF(Worksheet!M16="n/a",0,Worksheet!M16)</f>
        <v>10</v>
      </c>
      <c r="AE101" s="64">
        <f>Worksheet!Z16</f>
        <v>2.0323608458085753E-5</v>
      </c>
      <c r="AF101" s="40">
        <f t="shared" si="0"/>
        <v>2.0323608458085753E-5</v>
      </c>
      <c r="AG101" s="40">
        <f t="shared" si="3"/>
        <v>2.0323608458085755E-6</v>
      </c>
      <c r="AH101" s="40">
        <f t="shared" si="4"/>
        <v>2.0323608458085757E-5</v>
      </c>
      <c r="AI101" s="40">
        <f t="shared" si="1"/>
        <v>-3.3881317890172014E-21</v>
      </c>
      <c r="AJ101">
        <f t="array" aca="1" ref="AJ101" ca="1">SUM(1*(AI101&lt;$AI$98:$AI$117))+1+IF(ROW(AI101)-ROW($AI$98)=0,0,SUM(1*(AI101=OFFSET($AI$98,0,0,INDEX(ROW(AI101)-ROW($AI$98)+1,1)-1,1))))</f>
        <v>20</v>
      </c>
      <c r="AK101" s="46" t="str">
        <f t="shared" si="5"/>
        <v>WI Error Adjustment (WIEA)</v>
      </c>
      <c r="AL101">
        <f t="shared" si="6"/>
        <v>1</v>
      </c>
      <c r="AM101">
        <f t="shared" si="7"/>
        <v>1</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7</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8</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13.97169603743448</v>
      </c>
      <c r="AF104" s="75">
        <f t="shared" ref="AF104:AF117" si="8">AE104/$AE$120</f>
        <v>17.135098913834739</v>
      </c>
      <c r="AG104" s="75">
        <f t="shared" si="3"/>
        <v>1.7135098913834739</v>
      </c>
      <c r="AH104" s="75">
        <f t="shared" ref="AH104:AH117" si="9">AD104*AG104</f>
        <v>15.421589022451265</v>
      </c>
      <c r="AI104" s="75">
        <f t="shared" si="1"/>
        <v>1.7135098913834739</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9</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2.8303962565518679E-2</v>
      </c>
      <c r="AF106" s="79">
        <f t="shared" si="8"/>
        <v>3.4712406919975736E-2</v>
      </c>
      <c r="AG106" s="79">
        <f t="shared" si="3"/>
        <v>3.4712406919975734E-3</v>
      </c>
      <c r="AH106" s="40">
        <f t="shared" si="4"/>
        <v>3.4712406919975736E-2</v>
      </c>
      <c r="AI106" s="79">
        <f t="shared" si="1"/>
        <v>0</v>
      </c>
      <c r="AJ106" s="80">
        <f t="array" aca="1" ref="AJ106" ca="1">SUM(1*(AI106&lt;$AI$98:$AI$117))+1+IF(ROW(AI106)-ROW($AI$98)=0,0,SUM(1*(AI106=OFFSET($AI$98,0,0,INDEX(ROW(AI106)-ROW($AI$98)+1,1)-1,1))))</f>
        <v>10</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11</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10</v>
      </c>
      <c r="AE108" s="70">
        <v>3.5</v>
      </c>
      <c r="AF108" s="71">
        <f t="shared" si="8"/>
        <v>4.2924528301886795</v>
      </c>
      <c r="AG108" s="71">
        <f t="shared" si="3"/>
        <v>0.42924528301886794</v>
      </c>
      <c r="AH108" s="71">
        <f t="shared" si="9"/>
        <v>4.2924528301886795</v>
      </c>
      <c r="AI108" s="71">
        <f t="shared" si="1"/>
        <v>0</v>
      </c>
      <c r="AJ108" s="72">
        <f t="array" aca="1" ref="AJ108" ca="1">SUM(1*(AI108&lt;$AI$98:$AI$117))+1+IF(ROW(AI108)-ROW($AI$98)=0,0,SUM(1*(AI108=OFFSET($AI$98,0,0,INDEX(ROW(AI108)-ROW($AI$98)+1,1)-1,1))))</f>
        <v>12</v>
      </c>
      <c r="AK108" s="88" t="str">
        <f t="shared" si="5"/>
        <v>Unauthorized Consumption (UC)</v>
      </c>
      <c r="AL108" s="72">
        <f t="shared" si="10"/>
        <v>1</v>
      </c>
      <c r="AM108" s="72">
        <f t="shared" si="7"/>
        <v>1</v>
      </c>
      <c r="AN108" s="72">
        <f t="shared" si="2"/>
        <v>0</v>
      </c>
    </row>
    <row r="109" spans="28:40">
      <c r="AC109" s="217" t="s">
        <v>694</v>
      </c>
      <c r="AD109" s="73">
        <f>IF(Worksheet!F41="n/a",0,Worksheet!F41)</f>
        <v>6</v>
      </c>
      <c r="AE109" s="74">
        <f>IF(AND(Worksheet!F41="n/a",Worksheet!H41=0),0,6)</f>
        <v>6</v>
      </c>
      <c r="AF109" s="75">
        <f t="shared" si="8"/>
        <v>7.3584905660377355</v>
      </c>
      <c r="AG109" s="75">
        <f t="shared" si="3"/>
        <v>0.73584905660377353</v>
      </c>
      <c r="AH109" s="75">
        <f t="shared" si="9"/>
        <v>4.415094339622641</v>
      </c>
      <c r="AI109" s="75">
        <f t="shared" si="1"/>
        <v>2.9433962264150946</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3</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18</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19</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94.85151166404269</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9ED4748-2B22-4FB5-BC5A-5F861116DD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2026-03-05T13:02:12Z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