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5" documentId="13_ncr:1_{A452E6E8-616C-4511-97DF-B21E489E19D4}" xr6:coauthVersionLast="47" xr6:coauthVersionMax="47" xr10:uidLastSave="{7CE9192B-92CD-4022-902C-C7CB20CB084A}"/>
  <workbookProtection workbookPassword="FDB7" lockStructure="1"/>
  <bookViews>
    <workbookView xWindow="-108" yWindow="-108" windowWidth="23256" windowHeight="1245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<sst xmlns="http://schemas.openxmlformats.org/spreadsheetml/2006/main" count="2543" uniqueCount="1283">
  <si>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</si>
  <si>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</si>
  <si>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</si>
  <si>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</si>
  <si>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</si>
  <si>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</si>
  <si>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</si>
  <si>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</si>
  <si>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</si>
  <si>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</si>
  <si>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</si>
  <si>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</si>
  <si>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</si>
  <si>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</si>
  <si>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</si>
  <si>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</si>
  <si>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</si>
  <si>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</si>
  <si>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</si>
  <si>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</si>
  <si>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</si>
  <si>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</si>
  <si>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</si>
  <si>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</si>
  <si>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</si>
  <si>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</si>
  <si>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</si>
  <si>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</si>
  <si>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</si>
  <si>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</si>
  <si>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</si>
  <si>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</si>
  <si>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</si>
  <si>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</si>
  <si>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</si>
  <si>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</si>
  <si>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</si>
  <si>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</si>
  <si>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</si>
  <si>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</si>
  <si>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</si>
  <si>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</si>
  <si>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</si>
  <si>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</si>
  <si>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</si>
  <si>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</si>
  <si>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</si>
  <si>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</si>
  <si>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</si>
  <si>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</si>
  <si>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</si>
  <si>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</si>
  <si>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</si>
  <si>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</si>
  <si>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</si>
  <si>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</si>
  <si>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</si>
  <si>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</si>
  <si>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</si>
  <si>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</si>
  <si>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</si>
  <si>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</si>
  <si>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</si>
  <si>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</si>
  <si>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</si>
  <si>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</si>
  <si>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</si>
  <si>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</si>
  <si>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</si>
  <si>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</si>
  <si>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</si>
  <si>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</si>
  <si>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</si>
  <si>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</si>
  <si>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</si>
  <si>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</si>
  <si>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</si>
  <si>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</si>
  <si>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</si>
  <si>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</si>
  <si>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</si>
  <si>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</si>
  <si>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</si>
  <si>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</si>
  <si>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</si>
  <si>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</si>
  <si>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</si>
  <si>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</si>
  <si>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</si>
  <si>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</si>
  <si>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</si>
  <si>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</si>
  <si>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</si>
  <si>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</si>
  <si>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</si>
  <si>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</si>
  <si>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</si>
  <si>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</si>
  <si>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</si>
  <si>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</si>
  <si>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</si>
  <si>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</si>
  <si>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</si>
  <si>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</si>
  <si>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</si>
  <si>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</si>
  <si>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</si>
  <si>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</si>
  <si>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</si>
  <si>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</si>
  <si>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</si>
  <si>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</si>
  <si>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</si>
  <si>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</si>
  <si>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</si>
  <si>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</si>
  <si>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</si>
  <si>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</si>
  <si>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</si>
  <si>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</si>
  <si>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</si>
  <si>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</si>
  <si>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</si>
  <si>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</si>
  <si>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</si>
  <si>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</si>
  <si>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</si>
  <si>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</si>
  <si>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</si>
  <si>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</si>
  <si>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</si>
  <si>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</si>
  <si>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</si>
  <si>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</si>
  <si>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</si>
  <si>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</si>
  <si>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</si>
  <si>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</si>
  <si>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</si>
  <si>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</si>
  <si>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</si>
  <si>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</si>
  <si>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</si>
  <si>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</si>
  <si>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</si>
  <si>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</si>
  <si>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</si>
  <si>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</si>
  <si>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</si>
  <si>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</si>
  <si>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</si>
  <si>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</si>
  <si>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</si>
  <si>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</si>
  <si>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</si>
  <si>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</si>
  <si>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</si>
  <si>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</si>
  <si>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</si>
  <si>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</si>
  <si>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</si>
  <si>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</si>
  <si>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</si>
  <si>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</si>
  <si>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</si>
  <si>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</si>
  <si>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</si>
  <si>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</si>
  <si>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</si>
  <si>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</si>
  <si>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</si>
  <si>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</si>
  <si>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</si>
  <si>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</si>
  <si>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</si>
  <si>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</si>
  <si>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</si>
  <si>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</si>
  <si>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</si>
  <si>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</si>
  <si>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</si>
  <si>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</si>
  <si>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</si>
  <si>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</si>
  <si>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</si>
  <si>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</si>
  <si>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</si>
  <si>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</si>
  <si>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</si>
  <si>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</si>
  <si>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</si>
  <si>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</si>
  <si>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</si>
  <si>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</si>
  <si>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</si>
  <si>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</si>
  <si>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</si>
  <si>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</si>
  <si>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</si>
  <si>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</si>
  <si>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</si>
  <si>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</si>
  <si>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</si>
  <si>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</si>
  <si>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</si>
  <si>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</si>
  <si>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</si>
  <si>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</si>
  <si>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</si>
  <si>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</si>
  <si>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</si>
  <si>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</si>
  <si>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</si>
  <si>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</si>
  <si>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</si>
  <si>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</si>
  <si>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</si>
  <si>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</si>
  <si>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</si>
  <si>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</si>
  <si>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</si>
  <si>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</si>
  <si>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</si>
  <si>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</si>
  <si>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</si>
  <si>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</si>
  <si>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</si>
  <si>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</si>
  <si>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</si>
  <si>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</si>
  <si>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</si>
  <si>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</si>
  <si>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</si>
  <si>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</si>
  <si>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</si>
  <si>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</si>
  <si>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</si>
  <si>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</si>
  <si>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</si>
  <si>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</si>
  <si>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</si>
  <si>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</si>
  <si>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</si>
  <si>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</si>
  <si>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</si>
  <si>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</si>
  <si>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</si>
  <si>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</si>
  <si>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</si>
  <si>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</si>
  <si>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</si>
  <si>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</si>
  <si>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</si>
  <si>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</si>
  <si>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</si>
  <si>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</si>
  <si>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</si>
  <si>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</si>
  <si>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</si>
  <si>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</si>
  <si>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</si>
  <si>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</si>
  <si>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</si>
  <si>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</si>
  <si>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</si>
  <si>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</si>
  <si>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</si>
  <si>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</si>
  <si>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</si>
  <si>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</si>
  <si>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</si>
  <si>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</si>
  <si>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</si>
  <si>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</si>
  <si>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</si>
  <si>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</si>
  <si>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</si>
  <si>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</si>
  <si>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</si>
  <si>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</si>
  <si>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</si>
  <si>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</si>
  <si>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</si>
  <si>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</si>
  <si>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</si>
  <si>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</si>
  <si>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</si>
  <si>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</si>
  <si>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</si>
  <si>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</si>
  <si>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</si>
  <si>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</si>
  <si>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</si>
  <si>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</si>
  <si>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</si>
  <si>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</si>
  <si>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</si>
  <si>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</si>
  <si>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</si>
  <si>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</si>
  <si>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</si>
  <si>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</si>
  <si>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</si>
  <si>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</si>
  <si>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</si>
  <si>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</si>
  <si>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</si>
  <si>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</si>
  <si>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</si>
  <si>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</si>
  <si>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</si>
  <si>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</si>
  <si>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</si>
  <si>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</si>
  <si>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</si>
  <si>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</si>
  <si>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</si>
  <si>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</si>
  <si>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</si>
  <si>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</si>
  <si>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</si>
  <si>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</si>
  <si>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</si>
  <si>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</si>
  <si>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</si>
  <si>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</si>
  <si>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</si>
  <si>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</si>
  <si>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</si>
  <si>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</si>
  <si>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</si>
  <si>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</si>
  <si>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</si>
  <si>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</si>
  <si>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</si>
  <si>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</si>
  <si>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</si>
  <si>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</si>
  <si>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</si>
  <si>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</si>
  <si>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</si>
  <si>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</si>
  <si>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</si>
  <si>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</si>
  <si>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</si>
  <si>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</si>
  <si>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</si>
  <si>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</si>
  <si>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</si>
  <si>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</si>
  <si>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</si>
  <si>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</si>
  <si>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</si>
  <si>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</si>
  <si>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</si>
  <si>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</si>
  <si>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</si>
  <si>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</si>
  <si>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</si>
  <si>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</si>
  <si>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</si>
  <si>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</si>
  <si>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</si>
  <si>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</si>
  <si>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</si>
  <si>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</si>
  <si>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</si>
  <si>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</si>
  <si>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</si>
  <si>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</si>
  <si>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</si>
  <si>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</si>
  <si>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</si>
  <si>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</si>
  <si>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</si>
  <si>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</si>
  <si>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</si>
  <si>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</si>
  <si>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</si>
  <si>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</si>
  <si>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</si>
  <si>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</si>
  <si>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</si>
  <si>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</si>
  <si>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</si>
  <si>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</si>
  <si>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</si>
  <si>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</si>
  <si>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</si>
  <si>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</si>
  <si>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</si>
  <si>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</si>
  <si>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</si>
  <si>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</si>
  <si>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</si>
  <si>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</si>
  <si>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</si>
  <si>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</si>
  <si>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</si>
  <si>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</si>
  <si>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</si>
  <si>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</si>
  <si>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</si>
  <si>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</si>
  <si>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</si>
  <si>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</si>
  <si>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</si>
  <si>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</si>
  <si>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</si>
  <si>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</si>
  <si>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</si>
  <si>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</si>
  <si>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</si>
  <si>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</si>
  <si>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</si>
  <si>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</si>
  <si>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</si>
  <si>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</si>
  <si>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</si>
  <si>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</si>
  <si>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</si>
  <si>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</si>
  <si>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</si>
  <si>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</si>
  <si>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</si>
  <si>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</si>
  <si>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</si>
  <si>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</si>
  <si>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</si>
  <si>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</si>
  <si>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</si>
  <si>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</si>
  <si>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</si>
  <si>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</si>
  <si>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</si>
  <si>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</si>
  <si>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</si>
  <si>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</si>
  <si>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</si>
  <si>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</si>
  <si>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</si>
  <si>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</si>
  <si>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</si>
  <si>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</si>
  <si>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</si>
  <si>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</si>
  <si>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</si>
  <si>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</si>
  <si>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</si>
  <si>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</si>
  <si>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</si>
  <si>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</si>
  <si>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</si>
  <si>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</si>
  <si>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</si>
  <si>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</si>
  <si>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</si>
  <si>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</si>
  <si>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</si>
  <si>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</si>
  <si>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</si>
  <si>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</si>
  <si>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</si>
  <si>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</si>
  <si>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</si>
  <si>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</si>
  <si>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</si>
  <si>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</si>
  <si>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</si>
  <si>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</si>
  <si>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</si>
  <si>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</si>
  <si>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</si>
  <si>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</si>
  <si>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</si>
  <si>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</si>
  <si>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</si>
  <si>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</si>
  <si>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</si>
  <si>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</si>
  <si>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</si>
  <si>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</si>
  <si>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</si>
  <si>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</si>
  <si>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</si>
  <si>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</si>
  <si>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</si>
  <si>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</si>
  <si>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</si>
  <si>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</si>
  <si>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</si>
  <si>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</si>
  <si>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</si>
  <si>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</si>
  <si>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</si>
  <si>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</si>
  <si>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</si>
  <si>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</si>
  <si>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</si>
  <si>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</si>
  <si>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</si>
  <si>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</si>
  <si>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</si>
  <si>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</si>
  <si>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</si>
  <si>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</si>
  <si>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</si>
  <si>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</si>
  <si>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</si>
  <si>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</si>
  <si>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</si>
  <si>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</si>
  <si>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</si>
  <si>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</si>
  <si>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</si>
  <si>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</si>
  <si>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</si>
  <si>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</si>
  <si>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</si>
  <si>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</si>
  <si>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</si>
  <si>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</si>
  <si>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</si>
  <si>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</si>
  <si>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</si>
  <si>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</si>
  <si>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</si>
  <si>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</si>
  <si>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</si>
  <si>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</si>
  <si>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</si>
  <si>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</si>
  <si>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</si>
  <si>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</si>
  <si>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</si>
  <si>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</si>
  <si>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</si>
  <si>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</si>
  <si>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</si>
  <si>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</si>
  <si>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</si>
  <si>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</si>
  <si>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</si>
  <si>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</si>
  <si>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</si>
  <si>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</si>
  <si>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</si>
  <si>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</si>
  <si>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</si>
  <si>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</si>
  <si>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</si>
  <si>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</si>
  <si>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</si>
  <si>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</si>
  <si>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</si>
  <si>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</si>
  <si>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</si>
  <si>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</si>
  <si>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</si>
  <si>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</si>
  <si>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</si>
  <si>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</si>
  <si>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</si>
  <si>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</si>
  <si>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</si>
  <si>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</si>
  <si>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</si>
  <si>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</si>
  <si>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</si>
  <si>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</si>
  <si>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</si>
  <si>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</si>
  <si>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</si>
  <si>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</si>
  <si>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</si>
  <si>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</si>
  <si>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</si>
  <si>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</si>
  <si>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</si>
  <si>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</si>
  <si>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</si>
  <si>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</si>
  <si>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</si>
  <si>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</si>
  <si>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</si>
  <si>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</si>
  <si>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</si>
  <si>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</si>
  <si>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</si>
  <si>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</si>
  <si>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</si>
  <si>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</si>
  <si>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</si>
  <si>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</si>
  <si>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</si>
  <si>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</si>
  <si>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</si>
  <si>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</si>
  <si>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</si>
  <si>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</si>
  <si>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</si>
  <si>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</si>
  <si>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</si>
  <si>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</si>
  <si>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</si>
  <si>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</si>
  <si>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</si>
  <si>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</si>
  <si>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</si>
  <si>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</si>
  <si>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</si>
  <si>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</si>
  <si>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</si>
  <si>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</si>
  <si>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</si>
  <si>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</si>
  <si>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</si>
  <si>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</si>
  <si>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</si>
  <si>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</si>
  <si>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</si>
  <si>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</si>
  <si>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</si>
  <si>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</si>
  <si>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</si>
  <si>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</si>
  <si>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</si>
  <si>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</si>
  <si>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</si>
  <si>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</si>
  <si>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</si>
  <si>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</si>
  <si>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</si>
  <si>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</si>
  <si>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</si>
  <si>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</si>
  <si>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</si>
  <si>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</si>
  <si>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</si>
  <si>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</si>
  <si>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</si>
  <si>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</si>
  <si>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</si>
  <si>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</si>
  <si>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</si>
  <si>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</si>
  <si>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</si>
  <si>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</si>
  <si>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</si>
  <si>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</si>
  <si>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</si>
  <si>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</si>
  <si>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</si>
  <si>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</si>
  <si>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</si>
  <si>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</si>
  <si>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</si>
  <si>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</si>
  <si>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</si>
  <si>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</si>
  <si>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</si>
  <si>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</si>
  <si>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</si>
  <si>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</si>
  <si>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</si>
  <si>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</si>
  <si>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</si>
  <si>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</si>
  <si>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</si>
  <si>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</si>
  <si>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</si>
  <si>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</si>
  <si>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</si>
  <si>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</si>
  <si>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</si>
  <si>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</si>
  <si>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</si>
  <si>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</si>
  <si>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</si>
  <si>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</si>
  <si>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</si>
  <si>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</si>
  <si>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</si>
  <si>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</si>
  <si>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</si>
  <si>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</si>
  <si>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</si>
  <si>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</si>
  <si>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</si>
  <si>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</si>
  <si>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</si>
  <si>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</si>
  <si>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</si>
  <si>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</si>
  <si>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</si>
  <si>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</si>
  <si>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</si>
  <si>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</si>
  <si>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</si>
  <si>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</si>
  <si>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</si>
  <si>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</si>
  <si>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</si>
  <si>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</si>
  <si>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</si>
  <si>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</si>
  <si>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</si>
  <si>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</si>
  <si>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</si>
  <si>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</si>
  <si>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</si>
  <si>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</si>
  <si>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</si>
  <si>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</si>
  <si>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</si>
  <si>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</si>
  <si>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</si>
  <si>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</si>
  <si>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</si>
  <si>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</si>
  <si>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</si>
  <si>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</si>
  <si>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</si>
  <si>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</si>
  <si>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</si>
  <si>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</si>
  <si>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</si>
  <si>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</si>
  <si>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</si>
  <si>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</si>
  <si>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</si>
  <si>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</si>
  <si>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</si>
  <si>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</si>
  <si>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</si>
  <si>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</si>
  <si>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</si>
  <si>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</si>
  <si>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</si>
  <si>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</si>
  <si>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</si>
  <si>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</si>
  <si>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</si>
  <si>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</si>
  <si>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</si>
  <si>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</si>
  <si>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</si>
  <si>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</si>
  <si>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</si>
  <si>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</si>
  <si>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</si>
  <si>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</si>
  <si>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</si>
  <si>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</si>
  <si>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</si>
  <si>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</si>
  <si>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</si>
  <si>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</si>
  <si>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</si>
  <si>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</si>
  <si>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</si>
  <si>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</si>
  <si>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</si>
  <si>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</si>
  <si>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</si>
  <si>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</si>
  <si>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</si>
  <si>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</si>
  <si>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</si>
  <si>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</si>
  <si>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</si>
  <si>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</si>
  <si>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</si>
  <si>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</si>
  <si>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</si>
  <si>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</si>
  <si>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</si>
  <si>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</si>
  <si>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</si>
  <si>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</si>
  <si>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</si>
  <si>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</si>
  <si>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</si>
  <si>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</si>
  <si>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</si>
  <si>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</si>
  <si>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</si>
  <si>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</si>
  <si>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</si>
  <si>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</si>
  <si>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</si>
  <si>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</si>
  <si>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</si>
  <si>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</si>
  <si>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</si>
  <si>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</si>
  <si>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</si>
  <si>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</si>
  <si>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</si>
  <si>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</si>
  <si>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</si>
  <si>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</si>
  <si>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</si>
  <si>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</si>
  <si>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</si>
  <si>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</si>
  <si>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</si>
  <si>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</si>
  <si>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</si>
  <si>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</si>
  <si>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</si>
  <si>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</si>
  <si>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</si>
  <si>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</si>
  <si>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</si>
  <si>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</si>
  <si>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</si>
  <si>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</si>
  <si>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</si>
  <si>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</si>
  <si>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</si>
  <si>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</si>
  <si>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</si>
  <si>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</si>
  <si>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</si>
  <si>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</si>
  <si>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</si>
  <si>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</si>
  <si>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</si>
  <si>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</si>
  <si>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</si>
  <si>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</si>
  <si>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</si>
  <si>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</si>
  <si>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</si>
  <si>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</si>
  <si>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</si>
  <si>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</si>
  <si>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</si>
  <si>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</si>
  <si>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</si>
  <si>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</si>
  <si>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</si>
  <si>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</si>
  <si>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</si>
  <si>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</si>
  <si>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</si>
  <si>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</si>
  <si>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</si>
  <si>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</si>
  <si>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</si>
  <si>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</si>
  <si>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</si>
  <si>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</si>
  <si>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</si>
  <si>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</si>
  <si>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</si>
  <si>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</si>
  <si>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</si>
  <si>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</si>
  <si>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</si>
  <si>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</si>
  <si>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</si>
  <si>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</si>
  <si>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</si>
  <si>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</si>
  <si>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</si>
  <si>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</si>
  <si>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</si>
  <si>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</si>
  <si>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</si>
  <si>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</si>
  <si>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</si>
  <si>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</si>
  <si>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</si>
  <si>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</si>
  <si>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</si>
  <si>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</si>
  <si>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</si>
  <si>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</si>
  <si>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</si>
  <si>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</si>
  <si>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</si>
  <si>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</si>
  <si>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</si>
  <si>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</si>
  <si>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</si>
  <si>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</si>
  <si>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</si>
  <si>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</si>
  <si>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</si>
  <si>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</si>
  <si>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</si>
  <si>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</si>
  <si>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</si>
  <si>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</si>
  <si>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</si>
  <si>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</si>
  <si>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</si>
  <si>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</si>
  <si>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</si>
  <si>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</si>
  <si>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</si>
  <si>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</si>
  <si>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</si>
  <si>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</si>
  <si>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</si>
  <si>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</si>
  <si>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</si>
  <si>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</si>
  <si>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</si>
  <si>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</si>
  <si>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</si>
  <si>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</si>
  <si>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</si>
  <si>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</si>
  <si>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</si>
  <si>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</si>
  <si>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</si>
  <si>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</si>
  <si>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</si>
  <si>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</si>
  <si>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</si>
  <si>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</si>
  <si>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</si>
  <si>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</si>
  <si>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</si>
  <si>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</si>
  <si>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</si>
  <si>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</si>
  <si>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</si>
  <si>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</si>
  <si>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</si>
  <si>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</si>
  <si>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</si>
  <si>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</si>
  <si>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</si>
  <si>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</si>
  <si>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</si>
  <si>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</si>
  <si>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</si>
  <si>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</si>
  <si>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</si>
  <si>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</si>
  <si>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</si>
  <si>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</si>
  <si>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</si>
  <si>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</si>
  <si>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</si>
  <si>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</si>
  <si>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</si>
  <si>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</si>
  <si>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</si>
  <si>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</si>
  <si>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</si>
  <si>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</si>
  <si>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</si>
  <si>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</si>
  <si>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</si>
  <si>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</si>
  <si>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</si>
  <si>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</si>
  <si>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</si>
  <si>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</si>
  <si>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</si>
  <si>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</si>
  <si>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</si>
  <si>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</si>
  <si>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</si>
  <si>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</si>
  <si>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</si>
  <si>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</si>
  <si>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</si>
  <si>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</si>
  <si>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</si>
  <si>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</si>
  <si>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</si>
  <si>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</si>
  <si>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</si>
  <si>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</si>
  <si>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</si>
  <si>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</si>
  <si>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</si>
  <si>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</si>
  <si>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</si>
  <si>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</si>
  <si>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</si>
  <si>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</si>
  <si>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</si>
  <si>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</si>
  <si>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</si>
  <si>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</si>
  <si>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</si>
  <si>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</si>
  <si>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</si>
  <si>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</si>
  <si>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</si>
  <si>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</si>
  <si>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</si>
  <si>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</si>
  <si>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</si>
  <si>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</si>
  <si>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</si>
  <si>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</si>
  <si>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</si>
  <si>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</si>
  <si>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</si>
  <si>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</si>
  <si>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</si>
  <si>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</si>
  <si>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</si>
  <si>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</si>
  <si>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</si>
  <si>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</si>
  <si>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</si>
  <si>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</si>
  <si>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</si>
  <si>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</si>
  <si>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</si>
  <si>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</si>
  <si>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</si>
  <si>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</si>
  <si>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</si>
  <si>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</si>
  <si>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</si>
  <si>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</si>
  <si>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</si>
  <si>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</si>
  <si>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</si>
  <si>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</si>
  <si>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</si>
  <si>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</si>
  <si>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</si>
  <si>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</si>
  <si>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</si>
  <si>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</si>
  <si>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</si>
  <si>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</si>
  <si>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</si>
  <si>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</si>
  <si>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</si>
  <si>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</si>
  <si>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</si>
  <si>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</si>
  <si>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</si>
  <si>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</si>
  <si>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</si>
  <si>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</si>
  <si>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</si>
  <si>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</si>
  <si>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</si>
  <si>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</si>
  <si>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</si>
  <si>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</si>
  <si>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</si>
  <si>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</si>
  <si>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</si>
  <si>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</si>
  <si>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</si>
  <si>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</si>
  <si>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</si>
  <si>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</si>
  <si>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</si>
  <si>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</si>
  <si>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</si>
  <si>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</si>
  <si>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</si>
  <si>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</si>
  <si>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</si>
  <si>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</si>
  <si>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</si>
  <si>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</si>
  <si>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</si>
  <si>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</si>
  <si>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</si>
  <si>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</si>
  <si>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</si>
  <si>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</si>
  <si>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</si>
  <si>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</si>
  <si>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</si>
  <si>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</si>
  <si>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</si>
  <si>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</si>
  <si>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</si>
  <si>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</si>
  <si>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</si>
  <si>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</si>
  <si>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</si>
  <si>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</si>
  <si>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</si>
  <si>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</si>
  <si>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</si>
  <si>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</si>
  <si>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</si>
  <si>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</si>
  <si>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</si>
  <si>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</si>
  <si>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</si>
  <si>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</si>
  <si>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</si>
  <si>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</si>
  <si>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</si>
  <si>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</si>
  <si>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</si>
  <si>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</si>
  <si>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</si>
  <si>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</si>
  <si>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</si>
  <si>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</si>
  <si>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</si>
  <si>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</si>
  <si>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</si>
  <si>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</si>
  <si>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</si>
  <si>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</si>
  <si>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</si>
  <si>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</si>
  <si>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</si>
  <si>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</si>
  <si>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</si>
  <si>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</si>
  <si>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</si>
  <si>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</si>
  <si>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</si>
  <si>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</si>
  <si>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</si>
  <si>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</si>
  <si>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</si>
  <si>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</si>
  <si>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</si>
  <si>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</si>
  <si>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</si>
  <si>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</si>
  <si>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</si>
  <si>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</si>
  <si>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</si>
  <si>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</si>
  <si>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</si>
  <si>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</si>
  <si>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</si>
  <si>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</si>
  <si>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</si>
  <si>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</si>
  <si>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</si>
  <si>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</si>
  <si>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</si>
  <si>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</si>
  <si>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</si>
  <si>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</si>
  <si>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</si>
  <si>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</si>
  <si>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</si>
  <si>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</si>
  <si>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</si>
  <si>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</si>
  <si>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</si>
  <si>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</si>
  <si>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</si>
  <si>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</si>
  <si>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</si>
  <si>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</si>
  <si>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</si>
  <si>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</si>
  <si>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</si>
  <si>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</si>
  <si>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</si>
  <si>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</si>
  <si>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</si>
  <si>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</si>
  <si>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</si>
  <si>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</si>
  <si>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</si>
  <si>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</si>
  <si>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</si>
  <si>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</si>
  <si>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</si>
  <si>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</si>
  <si>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</si>
  <si>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</si>
  <si>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</si>
  <si>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</si>
  <si>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</si>
  <si>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</si>
  <si>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</si>
  <si>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</si>
  <si>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</si>
  <si>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</si>
  <si>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</si>
  <si>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</si>
  <si>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</si>
  <si>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</si>
  <si>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</si>
  <si>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</si>
  <si>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</si>
  <si>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</si>
  <si>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</si>
  <si>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</si>
  <si>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</si>
  <si>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</si>
  <si>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</si>
  <si>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</si>
  <si>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</si>
  <si>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</si>
  <si>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</si>
  <si>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</si>
  <si>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</si>
  <si>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</si>
  <si>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</si>
  <si>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</si>
  <si>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</si>
  <si>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</si>
  <si>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</si>
  <si>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</si>
  <si>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</si>
  <si>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</si>
  <si>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</si>
  <si>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</si>
  <si>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</si>
  <si>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</si>
  <si>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</si>
  <si>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</si>
  <si>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</si>
  <si>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</si>
  <si>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</si>
  <si>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</si>
  <si>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</si>
  <si>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</si>
  <si>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</si>
  <si>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</si>
  <si>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</si>
  <si>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</si>
  <si>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</si>
  <si>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</si>
  <si>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</si>
  <si>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</si>
  <si>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</si>
  <si>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</si>
  <si>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</si>
  <si>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</si>
  <si>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</si>
  <si>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</si>
  <si>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</si>
  <si>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</si>
  <si>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</si>
  <si>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</si>
  <si>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</si>
  <si>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</si>
  <si>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</si>
  <si>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</si>
  <si>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</si>
  <si>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</si>
  <si>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</si>
  <si>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</si>
  <si>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</si>
  <si>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</si>
  <si>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</si>
  <si>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</si>
  <si>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</si>
  <si>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</si>
  <si>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</si>
  <si>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</si>
  <si>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</si>
  <si>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</si>
  <si>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</si>
  <si>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</si>
  <si>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</si>
  <si>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</si>
  <si>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</si>
  <si>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</si>
  <si>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</si>
  <si>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</si>
  <si>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</si>
  <si>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</si>
  <si>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</si>
  <si>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</si>
  <si>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</si>
  <si>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</si>
  <si>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</si>
  <si>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</si>
  <si>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- 770 Boggs</t>
  </si>
  <si>
    <t>Boggs Twp</t>
  </si>
  <si>
    <t>4140101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</si>
</sst>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16.320999291962284</c:v>
                </c:pt>
                <c:pt idx="1">
                  <c:v>0.26113598867139654</c:v>
                </c:pt>
                <c:pt idx="2">
                  <c:v>16.059863303290889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82</c:v>
                </c:pt>
                <c:pt idx="1">
                  <c:v>1.2666666666666666</c:v>
                </c:pt>
                <c:pt idx="2" formatCode="General">
                  <c:v>116.73333333333333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3.0837500000000004E-2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3.0837500000000004E-2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0.25173469387755176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3.0837500000000004E-2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1.5949968102934582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$7,011/Yr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37.928891500000006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493.09162500000008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4025.2377551020527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493.09162500000008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1961.7822767885418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1.5888159171856069</c:v>
                </c:pt>
                <c:pt idx="1">
                  <c:v>9.0856271993300333E-2</c:v>
                </c:pt>
                <c:pt idx="2">
                  <c:v>9.6773618099836352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1040.4414939944279</c:v>
                </c:pt>
                <c:pt idx="1">
                  <c:v>97.186039594358903</c:v>
                </c:pt>
                <c:pt idx="2" formatCode="_(* #,##0_);_(* \(#,##0\);_(* &quot;-&quot;??_);_(@_)">
                  <c:v>11010.627415706076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I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BU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7.emf"/><Relationship Id="rId22" Type="http://schemas.openxmlformats.org/officeDocument/2006/relationships/hyperlink" Target="#'Interactive Data Grading'!Nc"/><Relationship Id="rId27"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82710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82710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82710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82710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827108"/>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827109"/>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827110"/>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827111"/>
                  </a:ext>
                </a:extLst>
              </xdr:cNvPicPr>
            </xdr:nvPicPr>
            <xdr:blipFill rotWithShape="1">
              <a:blip xmlns:r="http://schemas.openxmlformats.org/officeDocument/2006/relationships" r:embed="rId8"/>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827112"/>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827113"/>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827114"/>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115"/>
                  </a:ext>
                </a:extLst>
              </xdr:cNvPicPr>
            </xdr:nvPicPr>
            <xdr:blipFill rotWithShape="1">
              <a:blip xmlns:r="http://schemas.openxmlformats.org/officeDocument/2006/relationships" r:embed="rId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116"/>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117"/>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118"/>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11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120"/>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121"/>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122"/>
                  </a:ext>
                </a:extLst>
              </xdr:cNvPicPr>
            </xdr:nvPicPr>
            <xdr:blipFill rotWithShape="1">
              <a:blip xmlns:r="http://schemas.openxmlformats.org/officeDocument/2006/relationships" r:embed="rId2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7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71"/>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Z20" sqref="Z20"/>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1280</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1281</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1278</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1279</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85</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C79" sqref="C79:Q7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- 770 Boggs</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13.689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4.1000000000000002E-2</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0.561249</v>
      </c>
      <c r="Y15" s="103">
        <f>$Y$19/$Y$18*H15</f>
        <v>33.621517771373682</v>
      </c>
      <c r="Z15" s="147">
        <f>$Y$19/$Y$18*ABS(X15)</f>
        <v>1.378482228626321</v>
      </c>
      <c r="AA15" s="896">
        <f>IF(W15=1,input_VOS-input_VOS/(1+O15*AB15),Q15*AB15)</f>
        <v>-0.58524400417101141</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14.274244004171011</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14.250249</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14.274244004171011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12.335000000000001</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13.999999999999998</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919</v>
      </c>
      <c r="C25" s="529" t="s">
        <v>483</v>
      </c>
      <c r="D25" s="841" t="s">
        <v>881</v>
      </c>
      <c r="E25" s="577" t="s">
        <v>882</v>
      </c>
      <c r="F25" s="492" t="str">
        <f>'Interactive Data Grading'!D224</f>
        <v>n/a</v>
      </c>
      <c r="G25" s="94"/>
      <c r="H25" s="501">
        <v>0</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12.335000000000001</v>
      </c>
      <c r="Z25" s="146"/>
      <c r="AF25" s="99" t="s">
        <v>148</v>
      </c>
    </row>
    <row r="26" spans="1:33" ht="15" customHeight="1" thickBot="1">
      <c r="A26" s="91"/>
      <c r="B26" s="562" t="s">
        <v>920</v>
      </c>
      <c r="C26" s="529" t="s">
        <v>484</v>
      </c>
      <c r="D26" s="841" t="s">
        <v>881</v>
      </c>
      <c r="E26" s="577" t="s">
        <v>882</v>
      </c>
      <c r="F26" s="492">
        <f>'Interactive Data Grading'!D247</f>
        <v>3</v>
      </c>
      <c r="G26" s="94"/>
      <c r="H26" s="498">
        <f>IF(OR(W26=1,AND(W26=2,Q26=0)),O26*SUM(H23:H24),Q26)</f>
        <v>3.0837500000000004E-2</v>
      </c>
      <c r="I26" s="269"/>
      <c r="J26" s="270" t="str">
        <f>IF('Start Page'!$AB$22="million gallons (US)","MG/Yr",IF('Start Page'!$AB$22="Megalitres (thousand cubic metres)","ML/Yr",IF('Start Page'!$AB$22="acre-feet","Acre-ft/Yr","")))</f>
        <v>MG/Yr</v>
      </c>
      <c r="K26" s="270"/>
      <c r="L26" s="270"/>
      <c r="M26" s="270"/>
      <c r="N26" s="270"/>
      <c r="O26" s="493">
        <v>2.5000000000000001E-3</v>
      </c>
      <c r="P26" s="648" t="s">
        <v>786</v>
      </c>
      <c r="Q26" s="1033">
        <v>4.3999999999999997E-2</v>
      </c>
      <c r="R26" s="1033"/>
      <c r="S26" s="491" t="str">
        <f>IF('Start Page'!$AB$22="million gallons (US)","MG/Yr",IF('Start Page'!$AB$22="Megalitres (thousand cubic metres)","ML/Yr",IF('Start Page'!$AB$22="acre-feet","acre-ft/yr","")))</f>
        <v>MG/Yr</v>
      </c>
      <c r="T26" s="251"/>
      <c r="U26" s="256"/>
      <c r="V26" s="91"/>
      <c r="W26" s="485">
        <f>IF(P26="default",1,2)</f>
        <v>1</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12.365837500000001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1.9084065041710101</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3.0837500000000004E-2</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3</v>
      </c>
      <c r="G41" s="204"/>
      <c r="H41" s="602">
        <f>IF(OR(T41="Select…..",T41=""),"Select under/over",IF(W41=1,((H23+H25)/(1-(O41*X41)))-(H23+H25),Q41*X41))</f>
        <v>0.25173469387755176</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3.0837500000000004E-2</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v>3.3000000000000002E-2</v>
      </c>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0.3134096938775518</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0.25173469387755176</v>
      </c>
      <c r="Y50" s="135">
        <f>IFERROR(IF(W41=1,((H25)/(1-(O41*X41)))-(H25),Q41*H25/(H23+H25)),0)</f>
        <v>0</v>
      </c>
      <c r="Z50" s="923">
        <f>SUM(X50:Y50)</f>
        <v>0.25173469387755176</v>
      </c>
      <c r="AA50" s="1031"/>
      <c r="AB50" s="1031"/>
      <c r="AC50" s="1031"/>
    </row>
    <row r="51" spans="1:29">
      <c r="A51" s="91"/>
      <c r="B51" s="562"/>
      <c r="C51" s="1037" t="s">
        <v>662</v>
      </c>
      <c r="D51" s="1037"/>
      <c r="E51" s="1037"/>
      <c r="F51" s="1037"/>
      <c r="G51" s="869"/>
      <c r="H51" s="868">
        <f>IFERROR(H35-H46,"")</f>
        <v>1.5949968102934582</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4025.2377551020527</v>
      </c>
      <c r="Y51" s="940">
        <f>Y50*input_VPC</f>
        <v>0</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1.9084065041710101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1.9392440041710102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4.2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26</v>
      </c>
      <c r="I62" s="291"/>
      <c r="J62" s="292"/>
      <c r="K62" s="101"/>
      <c r="L62" s="101"/>
      <c r="M62" s="292" t="s">
        <v>902</v>
      </c>
      <c r="N62" s="101"/>
      <c r="U62" s="256"/>
      <c r="V62" s="91"/>
    </row>
    <row r="63" spans="1:29">
      <c r="A63" s="91"/>
      <c r="B63" s="562"/>
      <c r="C63" s="529" t="s">
        <v>165</v>
      </c>
      <c r="D63" s="53"/>
      <c r="E63" s="512"/>
      <c r="F63" s="273"/>
      <c r="G63" s="53"/>
      <c r="H63" s="500">
        <f>IF(ISERROR(H62/H61),"",H62/H61)</f>
        <v>6.1904761904761898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31.4</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31.4</v>
      </c>
      <c r="X67" s="54" t="s">
        <v>130</v>
      </c>
      <c r="Y67" s="54"/>
      <c r="Z67" s="54"/>
    </row>
    <row r="68" spans="1:26">
      <c r="A68" s="91"/>
      <c r="B68" s="562" t="s">
        <v>915</v>
      </c>
      <c r="C68" s="529" t="s">
        <v>487</v>
      </c>
      <c r="D68" s="841" t="s">
        <v>881</v>
      </c>
      <c r="E68" s="577" t="s">
        <v>882</v>
      </c>
      <c r="F68" s="492">
        <f>'Interactive Data Grading'!D422</f>
        <v>8</v>
      </c>
      <c r="G68" s="53"/>
      <c r="H68" s="325">
        <v>99</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1229.96</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9932</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C321" sqref="C321"/>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- 770 Boggs</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302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267</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t="str">
        <f>IFERROR((IF(D219="No","n/a",H224)),"")</f>
        <v>n/a</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This Data Grading Criteria is hidden when the 'default' input is used on the Worksheet</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Default is used because Custom Value is selected but no value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3</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This Data Grading Criteria is hidden when the 'default' input is used on the Worksheet</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83"/>
      <c r="O270" s="1083"/>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852</v>
      </c>
      <c r="E292" s="753" t="str">
        <f t="shared" si="17"/>
        <v>Limiting</v>
      </c>
      <c r="F292" s="327"/>
      <c r="G292" s="810">
        <f t="shared" si="16"/>
        <v>1</v>
      </c>
      <c r="H292" s="818">
        <f>VLOOKUP('Interactive Data Grading'!D292,CMI!$D$6:$J$16,7,FALSE)</f>
        <v>3</v>
      </c>
      <c r="I292" s="818">
        <f>H292</f>
        <v>3</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t="e">
        <f>IF(OR(D292=CMI!D23,D292=CMI!D24),X,H293)</f>
        <v>#NAME?</v>
      </c>
      <c r="J293" s="810" t="s">
        <v>502</v>
      </c>
    </row>
    <row r="294" spans="1:18" ht="29.4" customHeight="1">
      <c r="A294" s="215"/>
      <c r="B294" s="555" t="s">
        <v>525</v>
      </c>
      <c r="C294" s="884" t="str">
        <f>CMI!B38</f>
        <v>For mid and large size customer meters, which best describes the frequency of the proactive testing program?</v>
      </c>
      <c r="D294" s="329" t="s">
        <v>853</v>
      </c>
      <c r="E294" s="753" t="str">
        <f t="shared" si="17"/>
        <v>Limiting</v>
      </c>
      <c r="F294" s="327"/>
      <c r="G294" s="810">
        <f t="shared" si="16"/>
        <v>1</v>
      </c>
      <c r="H294" s="818">
        <f>VLOOKUP('Interactive Data Grading'!D294,CMI!$F$6:$J$16,5,FALSE)</f>
        <v>3</v>
      </c>
      <c r="I294" s="818">
        <f>H294</f>
        <v>3</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t="e">
        <f>IF(OR(D294=CMI!F23,D294=CMI!F24),X,H295)</f>
        <v>#NAME?</v>
      </c>
      <c r="J295" s="810" t="s">
        <v>525</v>
      </c>
    </row>
    <row r="296" spans="1:18" ht="29.4" customHeight="1">
      <c r="A296" s="215"/>
      <c r="B296" s="555" t="s">
        <v>526</v>
      </c>
      <c r="C296" s="884" t="str">
        <f>CMI!B40</f>
        <v>Which best describes how the input was derived?</v>
      </c>
      <c r="D296" s="329" t="s">
        <v>857</v>
      </c>
      <c r="E296" s="753" t="str">
        <f t="shared" si="17"/>
        <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745</v>
      </c>
      <c r="E321" s="753" t="str">
        <f>IF(OR($D$322=10,$D$322=3),"",IFERROR(IF(H321=MIN($H$320:$H$321),"Limiting",""),""))</f>
        <v/>
      </c>
      <c r="F321" s="327"/>
      <c r="H321" s="818">
        <f>VLOOKUP('Interactive Data Grading'!D321,UC!$D$6:$E$15,2,FALSE)</f>
        <v>10</v>
      </c>
      <c r="I321" s="819"/>
    </row>
    <row r="322" spans="1:18" ht="27.6" customHeight="1">
      <c r="A322" s="215"/>
      <c r="B322" s="215"/>
      <c r="C322" s="328" t="s">
        <v>313</v>
      </c>
      <c r="D322" s="895">
        <f>IFERROR((IF(D319=UC!A3,3,H322)),"")</f>
        <v>3</v>
      </c>
      <c r="E322" s="753"/>
      <c r="F322" s="327"/>
      <c r="H322" s="821">
        <f>MIN(H320:H321)</f>
        <v>10</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6"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- 770 Boggs</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82</v>
      </c>
      <c r="BS6" s="710"/>
      <c r="BT6" s="709"/>
      <c r="BU6" s="711"/>
      <c r="BV6" s="711"/>
      <c r="BW6" s="711"/>
      <c r="BX6" s="58"/>
      <c r="BY6" s="58"/>
    </row>
    <row r="7" spans="1:77" s="244" customFormat="1" ht="12.9" customHeight="1">
      <c r="A7" s="243"/>
      <c r="B7" s="335"/>
      <c r="C7" s="58"/>
      <c r="D7" s="247"/>
      <c r="E7" s="852"/>
      <c r="F7" s="247"/>
      <c r="G7" s="247"/>
      <c r="H7" s="678"/>
      <c r="I7" s="792" t="s">
        <v>237</v>
      </c>
      <c r="J7" s="1109">
        <f>BR6</f>
        <v>82</v>
      </c>
      <c r="K7" s="1109"/>
      <c r="L7" s="793"/>
      <c r="M7" s="793"/>
      <c r="N7" s="793"/>
      <c r="O7" s="793"/>
      <c r="P7" s="793"/>
      <c r="Q7" s="792" t="s">
        <v>681</v>
      </c>
      <c r="R7" s="1108" t="str">
        <f>IF(BO2&gt;0,"",BR4)</f>
        <v>Tier IV (71-90)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82</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result is above 90th %ile</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result is above 90th %ile</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268.20012622656134</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268.20012622656134</v>
      </c>
      <c r="AB18" s="1102"/>
      <c r="AC18" s="1102"/>
      <c r="AD18" s="871" t="str">
        <f>BD13</f>
        <v>$/conn/year</v>
      </c>
      <c r="AE18" s="872"/>
      <c r="AF18" s="873"/>
      <c r="AG18" s="873"/>
      <c r="AH18" s="874"/>
      <c r="AI18" s="874"/>
      <c r="AJ18" s="872"/>
      <c r="AK18" s="1102">
        <f>BS22</f>
        <v>192.74696173469437</v>
      </c>
      <c r="AL18" s="1102"/>
      <c r="AM18" s="1102"/>
      <c r="AN18" s="871" t="str">
        <f>BD13</f>
        <v>$/conn/year</v>
      </c>
      <c r="AO18" s="872"/>
      <c r="AP18" s="872"/>
      <c r="AQ18" s="872"/>
      <c r="AR18" s="872"/>
      <c r="AS18" s="872"/>
      <c r="AT18" s="872"/>
      <c r="AU18" s="1102">
        <f>BS29</f>
        <v>75.453164491867</v>
      </c>
      <c r="AV18" s="1102"/>
      <c r="AW18" s="1102"/>
      <c r="AX18" s="871" t="str">
        <f>BD13</f>
        <v>$/conn/year</v>
      </c>
      <c r="AY18" s="701"/>
      <c r="AZ18" s="247"/>
      <c r="BA18" s="247"/>
      <c r="BB18" s="342"/>
      <c r="BC18" s="109"/>
      <c r="BD18" s="58" t="s">
        <v>706</v>
      </c>
      <c r="BE18" s="234">
        <f>(((5.41*Worksheet!H61)+(0.15*Worksheet!H62)+(7.5*(Worksheet!H62*Worksheet!W67/5280)))*Worksheet!H68)/1000000*365</f>
        <v>1.0038902512500001</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3.0808220167912328</v>
      </c>
      <c r="BF19" s="233">
        <f>BE19*325851.427242/Worksheet!H62/365</f>
        <v>105.78400961538463</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4.2209293500000005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192.74696173469437</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result is above 90th %ile</v>
      </c>
      <c r="AC25" s="1094"/>
      <c r="AD25" s="1094"/>
      <c r="AE25" s="1094"/>
      <c r="AF25" s="619"/>
      <c r="AG25" s="619"/>
      <c r="AH25" s="680"/>
      <c r="AI25" s="680"/>
      <c r="AJ25" s="685"/>
      <c r="AK25" s="247"/>
      <c r="AL25" s="1094" t="str">
        <f>IF(BS43&lt;0,"negative result check inputs",IF($BS$44=0,"result is below 10th %ile",IF($BS$43&gt;$BS$44,"result is above 90th %ile","")))</f>
        <v>result is above 90th %ile</v>
      </c>
      <c r="AM25" s="1094"/>
      <c r="AN25" s="1094"/>
      <c r="AO25" s="1094"/>
      <c r="AP25" s="247"/>
      <c r="AQ25" s="247"/>
      <c r="AR25" s="247"/>
      <c r="AS25" s="247"/>
      <c r="AT25" s="247"/>
      <c r="AU25" s="683"/>
      <c r="AV25" s="1094" t="str">
        <f>IF(BS55&lt;0,"negative result check inputs",IF($BS$56=0,"result is below 10th %ile",IF($BS$55&gt;$BS$56,"result is above 90th %ile","")))</f>
        <v>result is above 90th %ile</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201.0965757819821</v>
      </c>
      <c r="AB29" s="1103"/>
      <c r="AC29" s="1103"/>
      <c r="AD29" s="870" t="str">
        <f>BD10</f>
        <v>gal/conn/day</v>
      </c>
      <c r="AE29" s="870"/>
      <c r="AF29" s="875"/>
      <c r="AG29" s="875"/>
      <c r="AH29" s="700"/>
      <c r="AI29" s="700"/>
      <c r="AJ29" s="700"/>
      <c r="AK29" s="1103">
        <f>BS43</f>
        <v>33.025257521343711</v>
      </c>
      <c r="AL29" s="1103"/>
      <c r="AM29" s="1103"/>
      <c r="AN29" s="871" t="str">
        <f>BD10</f>
        <v>gal/conn/day</v>
      </c>
      <c r="AO29" s="700"/>
      <c r="AP29" s="700"/>
      <c r="AQ29" s="700"/>
      <c r="AR29" s="700"/>
      <c r="AS29" s="700"/>
      <c r="AT29" s="700"/>
      <c r="AU29" s="1098">
        <f>BS55</f>
        <v>168.07131826063838</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75.453164491867</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35.54734395994759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99</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34.978586456588431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AOP is above 90th %ile</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201.0965757819821</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125.15100211248117</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123.14858607868146</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1.5888159171856069</v>
      </c>
      <c r="AI41" s="1097"/>
      <c r="AJ41" s="1097"/>
      <c r="AK41" s="870" t="s">
        <v>1048</v>
      </c>
      <c r="AL41" s="799"/>
      <c r="AM41" s="800"/>
      <c r="AN41" s="796"/>
      <c r="AO41" s="796"/>
      <c r="AP41" s="796"/>
      <c r="AQ41" s="796"/>
      <c r="AR41" s="796"/>
      <c r="AS41" s="1096">
        <f>BS69</f>
        <v>1040.4414939944279</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1.0038902512500001</v>
      </c>
      <c r="AL43" s="1095"/>
      <c r="AM43" s="1095"/>
      <c r="AN43" s="1095"/>
      <c r="AO43" s="916" t="str">
        <f>BD7</f>
        <v>MG/Yr</v>
      </c>
      <c r="AP43" s="700"/>
      <c r="AQ43" s="700"/>
      <c r="AR43" s="700"/>
      <c r="AS43" s="1095">
        <f>IF(BG19=1,BF19,IFERROR(AK43*1000000/Worksheet!H62/365,""))</f>
        <v>105.78400961538463</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33.025257521343711</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16.320999291962284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16.059863303290889</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0.3134096938775518</v>
      </c>
      <c r="J49" s="1090"/>
      <c r="K49" s="1090"/>
      <c r="L49" s="1090"/>
      <c r="M49" s="683"/>
      <c r="N49" s="1091">
        <f>IF(OR(ISBLANK('Start Page'!$AB$22),ISBLANK(Worksheet!J76)),"",(SUM(Worksheet!H43+Worksheet!H39+Worksheet!X50)*Worksheet!H76)*INDEX(Sheet1!B2:D4,MATCH('Start Page'!AB22,Sheet1!A2:A4,0),MATCH(Worksheet!J76,Sheet1!B1:D1,0))+Worksheet!Y50*Worksheet!H77)</f>
        <v>5011.4210051020536</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1.5949968102934582</v>
      </c>
      <c r="J50" s="1090"/>
      <c r="K50" s="1090"/>
      <c r="L50" s="1090"/>
      <c r="M50" s="683"/>
      <c r="N50" s="1091">
        <f>IFERROR(IF(Worksheet!H41="Select under/over","",IF(ISBLANK('Start Page'!AB22),"",Worksheet!H51*(IF(BD29=FALSE,Worksheet!H77,IF(BD29=TRUE,Worksheet!H76*INDEX(Sheet1!B2:D4,MATCH('Start Page'!AB22,Sheet1!A2:A4,0),MATCH(Worksheet!J76,Sheet1!B1:D1,0)),""))))),"")</f>
        <v>1961.7822767885418</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3.0837500000000004E-2</v>
      </c>
      <c r="J51" s="1090"/>
      <c r="K51" s="1090"/>
      <c r="L51" s="1090"/>
      <c r="M51" s="683"/>
      <c r="N51" s="1091">
        <f>IFERROR(IF(SUM(Sheet1!D90:D91)=0,"",SUM(Sheet1!D90:D91)),"")</f>
        <v>37.928891500000006</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1.9392440041710102</v>
      </c>
      <c r="J52" s="1090"/>
      <c r="K52" s="1090"/>
      <c r="L52" s="1090"/>
      <c r="M52" s="683"/>
      <c r="N52" s="1091">
        <f>IF(SUM(N49:N51)=0,"",SUM(N49:N51))</f>
        <v>7011.1321733905952</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168.07131826063838</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115.43298001472428</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113.58605233448871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1.5888159171856069</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1.5888159171856069</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9.6773618099836352</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1040.4414939944279</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1040.4414939944279</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11010.627415706076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46.665808526427512</v>
      </c>
      <c r="BQ83" s="733">
        <f>BP83+BQ78</f>
        <v>99</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40" activePane="bottomLeft" state="frozen"/>
      <selection activeCell="F138" sqref="F138"/>
      <selection pane="bottomLeft" activeCell="G43" sqref="G43:G4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- 770 Boggs</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 MG/Yr</v>
      </c>
    </row>
    <row r="79" spans="1:6" ht="13.8">
      <c r="B79" s="52"/>
      <c r="C79" s="52"/>
      <c r="D79" s="52"/>
      <c r="E79" s="9" t="str">
        <f>IFERROR("Total Cost of NRW = $"&amp;TEXT(SUM(D90,D91,D94,D95,D96,D97,D99),"#,###")&amp;"/Yr","")</f>
        <v>Total Cost of NRW = $7,011/Yr</v>
      </c>
      <c r="F79" s="52"/>
    </row>
    <row r="80" spans="1:6">
      <c r="A80"/>
      <c r="B80"/>
      <c r="C80" s="53" t="str">
        <f>"Volume ("&amp;Worksheet!J15&amp;")"</f>
        <v>Volume (MG/Yr)</v>
      </c>
      <c r="D80" s="53" t="s">
        <v>147</v>
      </c>
      <c r="E80" s="94" t="s">
        <v>1085</v>
      </c>
      <c r="F80"/>
    </row>
    <row r="81" spans="1:6">
      <c r="A81" s="46" t="s">
        <v>127</v>
      </c>
      <c r="B81" s="46"/>
      <c r="C81" s="122">
        <f>IF(Dashboard!BO$2&gt;0,"",Worksheet!H15)</f>
        <v>13.689</v>
      </c>
      <c r="D81" s="123">
        <f>IF(Dashboard!BO$2&gt;0,"",C81*(Worksheet!$H$77))</f>
        <v>16836.922440000002</v>
      </c>
      <c r="E81" s="605">
        <f>D81</f>
        <v>16836.922440000002</v>
      </c>
      <c r="F81" s="84" t="s">
        <v>1084</v>
      </c>
    </row>
    <row r="82" spans="1:6">
      <c r="A82" s="46" t="str">
        <f>A81&amp;" MA"</f>
        <v>Vol. from own sources: MA</v>
      </c>
      <c r="B82" s="46"/>
      <c r="C82" s="122">
        <f>IF(Dashboard!BO$2&gt;0,"",Worksheet!X15)</f>
        <v>0.561249</v>
      </c>
      <c r="D82" s="123">
        <f>IF(Dashboard!BO$2&gt;0,"",C82*(Worksheet!$H$77))</f>
        <v>690.31382004</v>
      </c>
      <c r="E82" s="605">
        <f t="shared" ref="E82:E100" si="0">D82</f>
        <v>690.31382004</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14.274244004171011</v>
      </c>
      <c r="D87" s="123">
        <f>IF(Dashboard!BO$2&gt;0,"",C87*(Worksheet!$H$77))</f>
        <v>17556.749155370177</v>
      </c>
      <c r="E87" s="605">
        <f t="shared" si="0"/>
        <v>17556.749155370177</v>
      </c>
      <c r="F87"/>
    </row>
    <row r="88" spans="1:6">
      <c r="A88" s="158" t="s">
        <v>1269</v>
      </c>
      <c r="B88"/>
      <c r="C88" s="122">
        <f>IF(Dashboard!BO$2&gt;0,"",Worksheet!H23)</f>
        <v>12.335000000000001</v>
      </c>
      <c r="D88" s="123">
        <f>IF(Dashboard!BO$2&gt;0,"",C88*(Worksheet!$H$76*1000))</f>
        <v>197236.65000000002</v>
      </c>
      <c r="E88" s="605">
        <f t="shared" si="0"/>
        <v>197236.65000000002</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v>
      </c>
      <c r="D90" s="951">
        <f>IF(Dashboard!BO$2&gt;0,"",IF(ISBLANK('Start Page'!AB22),"",IF(AND(ISBLANK(Worksheet!H77),Worksheet!Z77&lt;&gt;1),"",Worksheet!H25*(IF(Dashboard!BD29=FALSE,Worksheet!H77,IF(Dashboard!BD29=TRUE,Worksheet!H76*INDEX(Sheet1!B2:D4,MATCH('Start Page'!AB22,Sheet1!A2:A4,0),MATCH(Worksheet!J76,Sheet1!B1:D1,0)),""))))))</f>
        <v>0</v>
      </c>
      <c r="E90" s="952">
        <f t="shared" si="0"/>
        <v>0</v>
      </c>
      <c r="F90"/>
    </row>
    <row r="91" spans="1:6">
      <c r="A91" s="953" t="str">
        <f>"Unbilled Unmetered (UUAC) valued at "&amp;A76&amp;""</f>
        <v xml:space="preserve">Unbilled Unmetered (UUAC) valued at </v>
      </c>
      <c r="B91" s="949"/>
      <c r="C91" s="950">
        <f>IF(Dashboard!BO$2&gt;0,"",Worksheet!H26)</f>
        <v>3.0837500000000004E-2</v>
      </c>
      <c r="D91" s="951">
        <f>IF(Dashboard!BO$2&gt;0,"",IF(ISBLANK('Start Page'!AB22),"",IF(AND(ISBLANK(Worksheet!H77),Worksheet!Z77&lt;&gt;1),"",Worksheet!H26*(IF(Dashboard!BD29=FALSE,Worksheet!H77,IF(Dashboard!BD29=TRUE,Worksheet!H76*INDEX(Sheet1!B2:D4,MATCH('Start Page'!AB22,Sheet1!A2:A4,0),MATCH(Worksheet!J76,Sheet1!B1:D1,0)),""))))))</f>
        <v>37.928891500000006</v>
      </c>
      <c r="E91" s="952">
        <f t="shared" si="0"/>
        <v>37.928891500000006</v>
      </c>
      <c r="F91"/>
    </row>
    <row r="92" spans="1:6">
      <c r="A92" s="158" t="s">
        <v>2</v>
      </c>
      <c r="B92" s="125" t="s">
        <v>239</v>
      </c>
      <c r="C92" s="122">
        <f>IF(Dashboard!BO$2&gt;0,"",Worksheet!H30)</f>
        <v>12.365837500000001</v>
      </c>
      <c r="D92" s="123">
        <f>IF(Dashboard!BO$2&gt;0,"",C92*(Worksheet!$H$76*1000))</f>
        <v>197729.74162500002</v>
      </c>
      <c r="E92" s="605">
        <f t="shared" si="0"/>
        <v>197729.74162500002</v>
      </c>
      <c r="F92"/>
    </row>
    <row r="93" spans="1:6">
      <c r="A93" t="s">
        <v>51</v>
      </c>
      <c r="B93"/>
      <c r="C93" s="122">
        <f>IF(Dashboard!BO$2&gt;0,"",Worksheet!H35)</f>
        <v>1.9084065041710101</v>
      </c>
      <c r="D93" s="123"/>
      <c r="E93" s="605">
        <f t="shared" si="0"/>
        <v>0</v>
      </c>
      <c r="F93"/>
    </row>
    <row r="94" spans="1:6">
      <c r="A94" s="223" t="s">
        <v>678</v>
      </c>
      <c r="B94" s="46"/>
      <c r="C94" s="126">
        <f>IF(Dashboard!BO$2&gt;0,"",Worksheet!H43)</f>
        <v>3.0837500000000004E-2</v>
      </c>
      <c r="D94" s="127">
        <f>IF(Dashboard!BO$2&gt;0,"",IF(ISBLANK('Start Page'!AB22),"",IF(AND(ISBLANK(Worksheet!H77),Worksheet!Z77&lt;&gt;1),"",C94*Worksheet!H76*INDEX(Sheet1!B2:D4,MATCH('Start Page'!AB22,Sheet1!A2:A4,0),MATCH(Worksheet!J76,Sheet1!B1:D1,0)))))</f>
        <v>493.09162500000008</v>
      </c>
      <c r="E94" s="606">
        <f t="shared" si="0"/>
        <v>493.09162500000008</v>
      </c>
      <c r="F94" s="128"/>
    </row>
    <row r="95" spans="1:6">
      <c r="A95" s="935" t="s">
        <v>679</v>
      </c>
      <c r="B95" s="934"/>
      <c r="C95" s="936">
        <f>Worksheet!X50</f>
        <v>0.25173469387755176</v>
      </c>
      <c r="D95" s="937">
        <f>IF(Dashboard!BO$2&gt;0,"",IF(ISBLANK('Start Page'!AB22),"",IF(AND(ISBLANK(Worksheet!H77),Worksheet!Z77&lt;&gt;1),"",C95*Worksheet!H76*INDEX(Sheet1!B2:D4,MATCH('Start Page'!AB22,Sheet1!A2:A4,0),MATCH(Worksheet!J76,Sheet1!B1:D1,0)))))</f>
        <v>4025.2377551020527</v>
      </c>
      <c r="E95" s="938">
        <f t="shared" si="0"/>
        <v>4025.2377551020527</v>
      </c>
      <c r="F95" s="128"/>
    </row>
    <row r="96" spans="1:6">
      <c r="A96" s="935" t="s">
        <v>1271</v>
      </c>
      <c r="B96" s="934"/>
      <c r="C96" s="936">
        <f>Worksheet!Y50</f>
        <v>0</v>
      </c>
      <c r="D96" s="937">
        <f>C96*input_VPC</f>
        <v>0</v>
      </c>
      <c r="E96" s="938">
        <f t="shared" si="0"/>
        <v>0</v>
      </c>
      <c r="F96" s="941" t="s">
        <v>1273</v>
      </c>
    </row>
    <row r="97" spans="1:7">
      <c r="A97" s="223" t="s">
        <v>680</v>
      </c>
      <c r="B97" s="46"/>
      <c r="C97" s="126">
        <f>IF(Dashboard!BO$2&gt;0,"",Worksheet!H39)</f>
        <v>3.0837500000000004E-2</v>
      </c>
      <c r="D97" s="127">
        <f>IF(Dashboard!BO$2&gt;0,"",IF(ISBLANK('Start Page'!AB22),"",IF(AND(ISBLANK(Worksheet!H77),Worksheet!Z77&lt;&gt;1),"",C97*Worksheet!H76*INDEX(Sheet1!B2:D4,MATCH('Start Page'!AB22,Sheet1!A2:A4,0),MATCH(Worksheet!J76,Sheet1!B1:D1,0)))))</f>
        <v>493.09162500000008</v>
      </c>
      <c r="E97" s="606">
        <f t="shared" si="0"/>
        <v>493.09162500000008</v>
      </c>
      <c r="F97" s="128"/>
    </row>
    <row r="98" spans="1:7">
      <c r="A98" s="945" t="s">
        <v>42</v>
      </c>
      <c r="B98" s="945"/>
      <c r="C98" s="946">
        <f>IF(Dashboard!BO$2&gt;0,"",Worksheet!H46)</f>
        <v>0.3134096938775518</v>
      </c>
      <c r="D98" s="947">
        <f>IF(Dashboard!BO$2&gt;0,"",SUM(D94:D97))</f>
        <v>5011.4210051020527</v>
      </c>
      <c r="E98" s="605">
        <f t="shared" si="0"/>
        <v>5011.4210051020527</v>
      </c>
      <c r="F98"/>
    </row>
    <row r="99" spans="1:7">
      <c r="A99" s="54" t="str">
        <f>"Real Losses valued at "&amp;A76&amp;""</f>
        <v xml:space="preserve">Real Losses valued at </v>
      </c>
      <c r="B99" s="46"/>
      <c r="C99" s="126">
        <f>IF(Dashboard!BO$2&gt;0,"",Worksheet!H51)</f>
        <v>1.5949968102934582</v>
      </c>
      <c r="D99" s="939">
        <f>IF(Dashboard!BO$2&gt;0,"",Dashboard!N50)</f>
        <v>1961.7822767885418</v>
      </c>
      <c r="E99" s="606">
        <f t="shared" si="0"/>
        <v>1961.7822767885418</v>
      </c>
      <c r="F99" s="605"/>
    </row>
    <row r="100" spans="1:7">
      <c r="A100" t="s">
        <v>72</v>
      </c>
      <c r="B100"/>
      <c r="C100" s="122">
        <f>IF(Dashboard!BO$2&gt;0,"",Worksheet!H57)</f>
        <v>1.9392440041710102</v>
      </c>
      <c r="D100" s="124">
        <f>IF(Dashboard!BO$2&gt;0,"",D98+D99+D90+D91)</f>
        <v>7011.1321733905943</v>
      </c>
      <c r="E100" s="605">
        <f t="shared" si="0"/>
        <v>7011.1321733905943</v>
      </c>
      <c r="F100"/>
      <c r="G100" s="129"/>
    </row>
    <row r="101" spans="1:7">
      <c r="A101" s="942"/>
    </row>
    <row r="102" spans="1:7">
      <c r="A102" s="942" t="s">
        <v>1272</v>
      </c>
      <c r="C102" s="943">
        <f>C95+C96</f>
        <v>0.25173469387755176</v>
      </c>
      <c r="D102" s="129">
        <f>D95+D96</f>
        <v>4025.2377551020527</v>
      </c>
      <c r="E102" s="129">
        <f>E95+E96</f>
        <v>4025.2377551020527</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- 770 Boggs</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12.335000000000001</v>
      </c>
      <c r="H12" s="362"/>
      <c r="I12" s="5"/>
      <c r="K12" s="898"/>
    </row>
    <row r="13" spans="2:16" ht="22.5" customHeight="1">
      <c r="B13" s="1133"/>
      <c r="C13" s="363"/>
      <c r="D13" s="360"/>
      <c r="E13" s="1142"/>
      <c r="F13" s="365">
        <f>Worksheet!H23+Worksheet!H24</f>
        <v>12.335000000000001</v>
      </c>
      <c r="G13" s="366" t="s">
        <v>1090</v>
      </c>
      <c r="H13" s="367">
        <f>SUM(G12+G14)</f>
        <v>12.335000000000001</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12.365837500000001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v>
      </c>
      <c r="H16" s="1141"/>
      <c r="I16" s="5"/>
      <c r="K16" s="46"/>
    </row>
    <row r="17" spans="2:16" ht="22.5" customHeight="1">
      <c r="B17" s="377">
        <f>Worksheet!AG15</f>
        <v>14.274244004171011</v>
      </c>
      <c r="C17" s="378"/>
      <c r="D17" s="379"/>
      <c r="E17" s="250"/>
      <c r="F17" s="380">
        <f>Worksheet!H25+Worksheet!H26</f>
        <v>3.0837500000000004E-2</v>
      </c>
      <c r="G17" s="364" t="s">
        <v>1092</v>
      </c>
      <c r="H17" s="362"/>
      <c r="I17" s="5"/>
      <c r="K17" s="46"/>
      <c r="L17" s="121"/>
      <c r="M17" s="121"/>
      <c r="N17" s="121"/>
      <c r="O17" s="121"/>
      <c r="P17" s="121"/>
    </row>
    <row r="18" spans="2:16" ht="15.75" customHeight="1">
      <c r="B18" s="375"/>
      <c r="C18" s="1154" t="s">
        <v>763</v>
      </c>
      <c r="D18" s="360"/>
      <c r="E18" s="381"/>
      <c r="F18" s="370"/>
      <c r="G18" s="382">
        <f>Worksheet!H26</f>
        <v>3.0837500000000004E-2</v>
      </c>
      <c r="H18" s="362"/>
      <c r="I18" s="5"/>
      <c r="K18" s="46"/>
    </row>
    <row r="19" spans="2:16" ht="22.5" customHeight="1">
      <c r="B19" s="375"/>
      <c r="C19" s="1154"/>
      <c r="D19" s="383" t="s">
        <v>116</v>
      </c>
      <c r="E19" s="356"/>
      <c r="F19" s="384"/>
      <c r="G19" s="600" t="s">
        <v>695</v>
      </c>
      <c r="H19" s="385">
        <f>Worksheet!H25+Worksheet!H26+Worksheet!H46+Worksheet!H51</f>
        <v>1.9392440041710099</v>
      </c>
      <c r="I19" s="5"/>
      <c r="K19" s="46"/>
      <c r="L19" s="121"/>
      <c r="M19" s="121"/>
      <c r="N19" s="121"/>
      <c r="O19" s="121"/>
      <c r="P19" s="121"/>
    </row>
    <row r="20" spans="2:16" ht="15.75" customHeight="1">
      <c r="B20" s="375"/>
      <c r="C20" s="386">
        <f>B17+B27</f>
        <v>14.274244004171011</v>
      </c>
      <c r="D20" s="360"/>
      <c r="E20" s="250"/>
      <c r="F20" s="387" t="s">
        <v>52</v>
      </c>
      <c r="G20" s="376">
        <f>Worksheet!H39</f>
        <v>3.0837500000000004E-2</v>
      </c>
      <c r="H20" s="362"/>
      <c r="I20" s="5"/>
      <c r="K20" s="46"/>
    </row>
    <row r="21" spans="2:16" ht="14.25" customHeight="1">
      <c r="B21" s="388"/>
      <c r="C21" s="389"/>
      <c r="D21" s="386">
        <f>Worksheet!H19</f>
        <v>14.274244004171011</v>
      </c>
      <c r="E21" s="390"/>
      <c r="F21" s="380">
        <f>Worksheet!H46</f>
        <v>0.3134096938775518</v>
      </c>
      <c r="G21" s="364" t="s">
        <v>694</v>
      </c>
      <c r="H21" s="362"/>
      <c r="I21" s="5"/>
      <c r="K21" s="46"/>
      <c r="L21" s="121"/>
      <c r="M21" s="121"/>
      <c r="N21" s="121"/>
      <c r="O21" s="121"/>
      <c r="P21" s="121"/>
    </row>
    <row r="22" spans="2:16" ht="15.75" customHeight="1">
      <c r="B22" s="375"/>
      <c r="C22" s="359"/>
      <c r="D22" s="360"/>
      <c r="E22" s="250"/>
      <c r="F22" s="390"/>
      <c r="G22" s="391">
        <f>Worksheet!H41</f>
        <v>0.25173469387755176</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3.0837500000000004E-2</v>
      </c>
      <c r="H24" s="362"/>
      <c r="I24" s="5"/>
      <c r="K24" s="46"/>
    </row>
    <row r="25" spans="2:16" ht="26.25" customHeight="1">
      <c r="B25" s="1132" t="s">
        <v>1087</v>
      </c>
      <c r="C25" s="363"/>
      <c r="D25" s="360"/>
      <c r="E25" s="393">
        <f>Worksheet!H53</f>
        <v>1.9084065041710101</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1.5949968102934582</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- 770 Boggs</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IV (71-90)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33.621517771373682</v>
      </c>
      <c r="AF98" s="40">
        <f t="shared" ref="AF98:AF103" si="0">AE98</f>
        <v>33.621517771373682</v>
      </c>
      <c r="AG98" s="40">
        <f>IF(AE98&lt;&gt;0,AF98/10,0)</f>
        <v>3.3621517771373681</v>
      </c>
      <c r="AH98" s="40">
        <f>IFERROR(AD98*AG98,0)</f>
        <v>30.259365994236312</v>
      </c>
      <c r="AI98" s="40">
        <f t="shared" ref="AI98:AI117" si="1">IF(AG98=0,0,AF98-AH98)</f>
        <v>3.3621517771373703</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1.378482228626321</v>
      </c>
      <c r="AF99" s="40">
        <f t="shared" si="0"/>
        <v>1.378482228626321</v>
      </c>
      <c r="AG99" s="40">
        <f t="shared" ref="AG99:AG117" si="3">IF(AE99&lt;&gt;0,AF99/10,0)</f>
        <v>0.1378482228626321</v>
      </c>
      <c r="AH99" s="40">
        <f t="shared" ref="AH99:AH106" si="4">IFERROR(AD99*AG99,0)</f>
        <v>1.378482228626321</v>
      </c>
      <c r="AI99" s="40">
        <f t="shared" si="1"/>
        <v>0</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9</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10</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11</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12</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13.999999999999998</v>
      </c>
      <c r="AF104" s="75">
        <f t="shared" ref="AF104:AF117" si="8">AE104/$AE$120</f>
        <v>17.169811320754715</v>
      </c>
      <c r="AG104" s="75">
        <f t="shared" si="3"/>
        <v>1.7169811320754715</v>
      </c>
      <c r="AH104" s="75">
        <f t="shared" ref="AH104:AH117" si="9">AD104*AG104</f>
        <v>15.452830188679243</v>
      </c>
      <c r="AI104" s="75">
        <f t="shared" si="1"/>
        <v>1.7169811320754711</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13</v>
      </c>
      <c r="AK105" s="87" t="str">
        <f t="shared" si="5"/>
        <v>Billed Unmetered (BUAC)</v>
      </c>
      <c r="AL105" s="80">
        <f t="shared" si="10"/>
        <v>0</v>
      </c>
      <c r="AM105" s="80">
        <f t="shared" si="7"/>
        <v>0</v>
      </c>
      <c r="AN105" s="80">
        <f t="shared" si="2"/>
        <v>0</v>
      </c>
    </row>
    <row r="106" spans="28:40">
      <c r="AC106" s="218" t="s">
        <v>692</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14</v>
      </c>
      <c r="AK106" s="87" t="str">
        <f t="shared" si="5"/>
        <v>Unbilled Metered (UMAC)</v>
      </c>
      <c r="AL106" s="80">
        <f t="shared" si="10"/>
        <v>0</v>
      </c>
      <c r="AM106" s="80">
        <f t="shared" si="7"/>
        <v>0</v>
      </c>
      <c r="AN106" s="80">
        <f t="shared" si="2"/>
        <v>0</v>
      </c>
    </row>
    <row r="107" spans="28:40">
      <c r="AB107" t="s">
        <v>61</v>
      </c>
      <c r="AC107" s="219" t="s">
        <v>693</v>
      </c>
      <c r="AD107" s="77">
        <f>IF(OR(Worksheet!W26=1,AND(Worksheet!W26=2,Worksheet!Q26=0)),3,Worksheet!F26)</f>
        <v>3</v>
      </c>
      <c r="AE107" s="70">
        <v>2</v>
      </c>
      <c r="AF107" s="71">
        <f t="shared" si="8"/>
        <v>2.4528301886792452</v>
      </c>
      <c r="AG107" s="71">
        <f t="shared" si="3"/>
        <v>0.24528301886792453</v>
      </c>
      <c r="AH107" s="71">
        <f t="shared" si="9"/>
        <v>0.73584905660377364</v>
      </c>
      <c r="AI107" s="71">
        <f t="shared" si="1"/>
        <v>1.7169811320754715</v>
      </c>
      <c r="AJ107" s="72">
        <f t="array" aca="1" ref="AJ107" ca="1">SUM(1*(AI107&lt;$AI$98:$AI$117))+1+IF(ROW(AI107)-ROW($AI$98)=0,0,SUM(1*(AI107=OFFSET($AI$98,0,0,INDEX(ROW(AI107)-ROW($AI$98)+1,1)-1,1))))</f>
        <v>6</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81.552942562485271</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2</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2" zoomScale="115" zoomScaleNormal="115" zoomScaleSheetLayoutView="100" workbookViewId="0">
      <selection activeCell="C42" sqref="C42:L4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526B5D9B-DCF2-4219-A728-CCC8B718E5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2026-03-05T11:33:41Z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