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24" documentId="13_ncr:1_{3DBEE784-D0B8-4019-A0BC-925F91A9EBC7}" xr6:coauthVersionLast="47" xr6:coauthVersionMax="47" xr10:uidLastSave="{218D5614-9178-409E-AE2F-6AE11439E436}"/>
  <workbookProtection workbookPassword="FDB7" lockStructure="1"/>
  <bookViews>
    <workbookView xWindow="-108" yWindow="-108" windowWidth="23256" windowHeight="12456"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<sst xmlns="http://schemas.openxmlformats.org/spreadsheetml/2006/main" count="2558" uniqueCount="1284">
  <si>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</si>
  <si>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</si>
  <si>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</si>
  <si>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</si>
  <si>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</si>
  <si>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</si>
  <si>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</si>
  <si>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</si>
  <si>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</si>
  <si>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</si>
  <si>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</si>
  <si>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</si>
  <si>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</si>
  <si>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</si>
  <si>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</si>
  <si>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</si>
  <si>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</si>
  <si>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</si>
  <si>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</si>
  <si>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</si>
  <si>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</si>
  <si>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</si>
  <si>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</si>
  <si>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</si>
  <si>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</si>
  <si>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</si>
  <si>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</si>
  <si>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</si>
  <si>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</si>
  <si>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</si>
  <si>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</si>
  <si>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</si>
  <si>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</si>
  <si>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</si>
  <si>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</si>
  <si>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</si>
  <si>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</si>
  <si>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</si>
  <si>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</si>
  <si>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</si>
  <si>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</si>
  <si>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</si>
  <si>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</si>
  <si>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</si>
  <si>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</si>
  <si>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</si>
  <si>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</si>
  <si>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</si>
  <si>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</si>
  <si>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</si>
  <si>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</si>
  <si>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</si>
  <si>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</si>
  <si>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</si>
  <si>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</si>
  <si>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</si>
  <si>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</si>
  <si>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</si>
  <si>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</si>
  <si>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</si>
  <si>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</si>
  <si>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</si>
  <si>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</si>
  <si>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</si>
  <si>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</si>
  <si>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</si>
  <si>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</si>
  <si>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</si>
  <si>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</si>
  <si>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</si>
  <si>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</si>
  <si>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</si>
  <si>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</si>
  <si>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</si>
  <si>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</si>
  <si>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</si>
  <si>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</si>
  <si>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</si>
  <si>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</si>
  <si>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</si>
  <si>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</si>
  <si>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</si>
  <si>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</si>
  <si>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</si>
  <si>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</si>
  <si>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</si>
  <si>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</si>
  <si>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</si>
  <si>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</si>
  <si>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</si>
  <si>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</si>
  <si>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</si>
  <si>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</si>
  <si>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</si>
  <si>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</si>
  <si>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</si>
  <si>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</si>
  <si>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</si>
  <si>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</si>
  <si>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</si>
  <si>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</si>
  <si>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</si>
  <si>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</si>
  <si>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</si>
  <si>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</si>
  <si>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</si>
  <si>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</si>
  <si>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</si>
  <si>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</si>
  <si>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</si>
  <si>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</si>
  <si>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</si>
  <si>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</si>
  <si>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</si>
  <si>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</si>
  <si>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</si>
  <si>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</si>
  <si>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</si>
  <si>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</si>
  <si>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</si>
  <si>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</si>
  <si>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</si>
  <si>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</si>
  <si>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</si>
  <si>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</si>
  <si>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</si>
  <si>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</si>
  <si>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</si>
  <si>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</si>
  <si>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</si>
  <si>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</si>
  <si>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</si>
  <si>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</si>
  <si>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</si>
  <si>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</si>
  <si>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</si>
  <si>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</si>
  <si>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</si>
  <si>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</si>
  <si>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</si>
  <si>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</si>
  <si>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</si>
  <si>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</si>
  <si>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</si>
  <si>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</si>
  <si>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</si>
  <si>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</si>
  <si>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</si>
  <si>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</si>
  <si>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</si>
  <si>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</si>
  <si>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</si>
  <si>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</si>
  <si>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</si>
  <si>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</si>
  <si>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</si>
  <si>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</si>
  <si>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</si>
  <si>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</si>
  <si>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</si>
  <si>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</si>
  <si>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</si>
  <si>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</si>
  <si>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</si>
  <si>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</si>
  <si>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</si>
  <si>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</si>
  <si>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</si>
  <si>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</si>
  <si>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</si>
  <si>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</si>
  <si>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</si>
  <si>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</si>
  <si>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</si>
  <si>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</si>
  <si>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</si>
  <si>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</si>
  <si>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</si>
  <si>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</si>
  <si>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</si>
  <si>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</si>
  <si>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</si>
  <si>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</si>
  <si>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</si>
  <si>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</si>
  <si>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</si>
  <si>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</si>
  <si>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</si>
  <si>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</si>
  <si>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</si>
  <si>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</si>
  <si>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</si>
  <si>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</si>
  <si>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</si>
  <si>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</si>
  <si>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</si>
  <si>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</si>
  <si>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</si>
  <si>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</si>
  <si>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</si>
  <si>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</si>
  <si>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</si>
  <si>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</si>
  <si>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</si>
  <si>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</si>
  <si>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</si>
  <si>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</si>
  <si>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</si>
  <si>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</si>
  <si>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</si>
  <si>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</si>
  <si>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</si>
  <si>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</si>
  <si>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</si>
  <si>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</si>
  <si>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</si>
  <si>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</si>
  <si>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</si>
  <si>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</si>
  <si>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</si>
  <si>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</si>
  <si>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</si>
  <si>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</si>
  <si>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</si>
  <si>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</si>
  <si>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</si>
  <si>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</si>
  <si>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</si>
  <si>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</si>
  <si>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</si>
  <si>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</si>
  <si>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</si>
  <si>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</si>
  <si>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</si>
  <si>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</si>
  <si>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</si>
  <si>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</si>
  <si>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</si>
  <si>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</si>
  <si>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</si>
  <si>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</si>
  <si>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</si>
  <si>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</si>
  <si>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</si>
  <si>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</si>
  <si>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</si>
  <si>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</si>
  <si>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</si>
  <si>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</si>
  <si>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</si>
  <si>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</si>
  <si>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</si>
  <si>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</si>
  <si>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</si>
  <si>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</si>
  <si>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</si>
  <si>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</si>
  <si>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</si>
  <si>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</si>
  <si>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</si>
  <si>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</si>
  <si>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</si>
  <si>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</si>
  <si>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</si>
  <si>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</si>
  <si>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</si>
  <si>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</si>
  <si>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</si>
  <si>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</si>
  <si>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</si>
  <si>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</si>
  <si>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</si>
  <si>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</si>
  <si>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</si>
  <si>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</si>
  <si>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</si>
  <si>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</si>
  <si>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</si>
  <si>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</si>
  <si>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</si>
  <si>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</si>
  <si>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</si>
  <si>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</si>
  <si>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</si>
  <si>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</si>
  <si>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</si>
  <si>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</si>
  <si>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</si>
  <si>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</si>
  <si>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</si>
  <si>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</si>
  <si>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</si>
  <si>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</si>
  <si>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</si>
  <si>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</si>
  <si>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</si>
  <si>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</si>
  <si>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</si>
  <si>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</si>
  <si>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</si>
  <si>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</si>
  <si>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</si>
  <si>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</si>
  <si>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</si>
  <si>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</si>
  <si>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</si>
  <si>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</si>
  <si>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</si>
  <si>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</si>
  <si>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</si>
  <si>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</si>
  <si>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</si>
  <si>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</si>
  <si>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</si>
  <si>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</si>
  <si>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</si>
  <si>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</si>
  <si>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</si>
  <si>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</si>
  <si>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</si>
  <si>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</si>
  <si>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</si>
  <si>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</si>
  <si>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</si>
  <si>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</si>
  <si>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</si>
  <si>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</si>
  <si>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</si>
  <si>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</si>
  <si>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</si>
  <si>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</si>
  <si>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</si>
  <si>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</si>
  <si>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</si>
  <si>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</si>
  <si>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</si>
  <si>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</si>
  <si>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</si>
  <si>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</si>
  <si>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</si>
  <si>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</si>
  <si>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</si>
  <si>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</si>
  <si>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</si>
  <si>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</si>
  <si>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</si>
  <si>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</si>
  <si>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</si>
  <si>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</si>
  <si>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</si>
  <si>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</si>
  <si>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</si>
  <si>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</si>
  <si>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</si>
  <si>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</si>
  <si>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</si>
  <si>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</si>
  <si>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</si>
  <si>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</si>
  <si>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</si>
  <si>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</si>
  <si>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</si>
  <si>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</si>
  <si>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</si>
  <si>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</si>
  <si>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</si>
  <si>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</si>
  <si>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</si>
  <si>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</si>
  <si>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</si>
  <si>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</si>
  <si>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</si>
  <si>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</si>
  <si>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</si>
  <si>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</si>
  <si>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</si>
  <si>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</si>
  <si>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</si>
  <si>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</si>
  <si>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</si>
  <si>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</si>
  <si>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</si>
  <si>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</si>
  <si>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</si>
  <si>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</si>
  <si>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</si>
  <si>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</si>
  <si>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</si>
  <si>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</si>
  <si>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</si>
  <si>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</si>
  <si>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</si>
  <si>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</si>
  <si>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</si>
  <si>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</si>
  <si>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</si>
  <si>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</si>
  <si>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</si>
  <si>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</si>
  <si>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</si>
  <si>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</si>
  <si>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</si>
  <si>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</si>
  <si>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</si>
  <si>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</si>
  <si>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</si>
  <si>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</si>
  <si>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</si>
  <si>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</si>
  <si>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</si>
  <si>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</si>
  <si>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</si>
  <si>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</si>
  <si>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</si>
  <si>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</si>
  <si>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</si>
  <si>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</si>
  <si>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</si>
  <si>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</si>
  <si>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</si>
  <si>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</si>
  <si>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</si>
  <si>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</si>
  <si>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</si>
  <si>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</si>
  <si>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</si>
  <si>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</si>
  <si>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</si>
  <si>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</si>
  <si>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</si>
  <si>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</si>
  <si>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</si>
  <si>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</si>
  <si>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</si>
  <si>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</si>
  <si>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</si>
  <si>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</si>
  <si>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</si>
  <si>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</si>
  <si>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</si>
  <si>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</si>
  <si>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</si>
  <si>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</si>
  <si>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</si>
  <si>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</si>
  <si>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</si>
  <si>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</si>
  <si>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</si>
  <si>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</si>
  <si>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</si>
  <si>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</si>
  <si>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</si>
  <si>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</si>
  <si>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</si>
  <si>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</si>
  <si>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</si>
  <si>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</si>
  <si>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</si>
  <si>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</si>
  <si>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</si>
  <si>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</si>
  <si>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</si>
  <si>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</si>
  <si>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</si>
  <si>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</si>
  <si>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</si>
  <si>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</si>
  <si>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</si>
  <si>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</si>
  <si>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</si>
  <si>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</si>
  <si>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</si>
  <si>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</si>
  <si>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</si>
  <si>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</si>
  <si>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</si>
  <si>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</si>
  <si>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</si>
  <si>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</si>
  <si>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</si>
  <si>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</si>
  <si>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</si>
  <si>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</si>
  <si>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</si>
  <si>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</si>
  <si>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</si>
  <si>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</si>
  <si>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</si>
  <si>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</si>
  <si>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</si>
  <si>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</si>
  <si>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</si>
  <si>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</si>
  <si>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</si>
  <si>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</si>
  <si>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</si>
  <si>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</si>
  <si>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</si>
  <si>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</si>
  <si>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</si>
  <si>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</si>
  <si>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</si>
  <si>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</si>
  <si>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</si>
  <si>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</si>
  <si>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</si>
  <si>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</si>
  <si>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</si>
  <si>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</si>
  <si>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</si>
  <si>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</si>
  <si>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</si>
  <si>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</si>
  <si>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</si>
  <si>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</si>
  <si>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</si>
  <si>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</si>
  <si>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</si>
  <si>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</si>
  <si>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</si>
  <si>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</si>
  <si>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</si>
  <si>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</si>
  <si>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</si>
  <si>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</si>
  <si>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</si>
  <si>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</si>
  <si>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</si>
  <si>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</si>
  <si>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</si>
  <si>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</si>
  <si>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</si>
  <si>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</si>
  <si>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</si>
  <si>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</si>
  <si>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</si>
  <si>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</si>
  <si>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</si>
  <si>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</si>
  <si>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</si>
  <si>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</si>
  <si>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</si>
  <si>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</si>
  <si>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</si>
  <si>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</si>
  <si>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</si>
  <si>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</si>
  <si>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</si>
  <si>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</si>
  <si>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</si>
  <si>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</si>
  <si>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</si>
  <si>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</si>
  <si>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</si>
  <si>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</si>
  <si>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</si>
  <si>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</si>
  <si>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</si>
  <si>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</si>
  <si>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</si>
  <si>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</si>
  <si>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</si>
  <si>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</si>
  <si>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</si>
  <si>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</si>
  <si>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</si>
  <si>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</si>
  <si>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</si>
  <si>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</si>
  <si>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</si>
  <si>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</si>
  <si>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</si>
  <si>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</si>
  <si>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</si>
  <si>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</si>
  <si>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</si>
  <si>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</si>
  <si>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</si>
  <si>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</si>
  <si>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</si>
  <si>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</si>
  <si>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</si>
  <si>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</si>
  <si>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</si>
  <si>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</si>
  <si>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</si>
  <si>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</si>
  <si>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</si>
  <si>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</si>
  <si>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</si>
  <si>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</si>
  <si>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</si>
  <si>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</si>
  <si>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</si>
  <si>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</si>
  <si>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</si>
  <si>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</si>
  <si>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</si>
  <si>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</si>
  <si>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</si>
  <si>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</si>
  <si>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</si>
  <si>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</si>
  <si>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</si>
  <si>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</si>
  <si>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</si>
  <si>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</si>
  <si>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</si>
  <si>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</si>
  <si>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</si>
  <si>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</si>
  <si>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</si>
  <si>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</si>
  <si>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</si>
  <si>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</si>
  <si>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</si>
  <si>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</si>
  <si>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</si>
  <si>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</si>
  <si>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</si>
  <si>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</si>
  <si>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</si>
  <si>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</si>
  <si>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</si>
  <si>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</si>
  <si>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</si>
  <si>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</si>
  <si>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</si>
  <si>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</si>
  <si>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</si>
  <si>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</si>
  <si>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</si>
  <si>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</si>
  <si>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</si>
  <si>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</si>
  <si>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</si>
  <si>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</si>
  <si>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</si>
  <si>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</si>
  <si>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</si>
  <si>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</si>
  <si>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</si>
  <si>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</si>
  <si>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</si>
  <si>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</si>
  <si>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</si>
  <si>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</si>
  <si>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</si>
  <si>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</si>
  <si>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</si>
  <si>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</si>
  <si>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</si>
  <si>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</si>
  <si>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</si>
  <si>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</si>
  <si>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</si>
  <si>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</si>
  <si>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</si>
  <si>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</si>
  <si>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</si>
  <si>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</si>
  <si>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</si>
  <si>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</si>
  <si>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</si>
  <si>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</si>
  <si>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</si>
  <si>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</si>
  <si>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</si>
  <si>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</si>
  <si>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</si>
  <si>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</si>
  <si>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</si>
  <si>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</si>
  <si>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</si>
  <si>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</si>
  <si>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</si>
  <si>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</si>
  <si>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</si>
  <si>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</si>
  <si>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</si>
  <si>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</si>
  <si>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</si>
  <si>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</si>
  <si>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</si>
  <si>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</si>
  <si>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</si>
  <si>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</si>
  <si>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</si>
  <si>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</si>
  <si>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</si>
  <si>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</si>
  <si>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</si>
  <si>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</si>
  <si>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</si>
  <si>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</si>
  <si>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</si>
  <si>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</si>
  <si>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</si>
  <si>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</si>
  <si>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</si>
  <si>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</si>
  <si>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</si>
  <si>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</si>
  <si>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</si>
  <si>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</si>
  <si>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</si>
  <si>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</si>
  <si>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</si>
  <si>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</si>
  <si>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</si>
  <si>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</si>
  <si>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</si>
  <si>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</si>
  <si>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</si>
  <si>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</si>
  <si>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</si>
  <si>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</si>
  <si>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</si>
  <si>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</si>
  <si>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</si>
  <si>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</si>
  <si>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</si>
  <si>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</si>
  <si>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</si>
  <si>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</si>
  <si>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</si>
  <si>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</si>
  <si>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</si>
  <si>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</si>
  <si>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</si>
  <si>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</si>
  <si>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</si>
  <si>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</si>
  <si>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</si>
  <si>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</si>
  <si>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</si>
  <si>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</si>
  <si>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</si>
  <si>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</si>
  <si>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</si>
  <si>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</si>
  <si>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</si>
  <si>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</si>
  <si>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</si>
  <si>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</si>
  <si>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</si>
  <si>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</si>
  <si>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</si>
  <si>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</si>
  <si>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</si>
  <si>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</si>
  <si>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</si>
  <si>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</si>
  <si>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</si>
  <si>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</si>
  <si>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</si>
  <si>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</si>
  <si>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</si>
  <si>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</si>
  <si>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</si>
  <si>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</si>
  <si>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</si>
  <si>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</si>
  <si>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</si>
  <si>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</si>
  <si>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</si>
  <si>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</si>
  <si>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</si>
  <si>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</si>
  <si>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</si>
  <si>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</si>
  <si>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</si>
  <si>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</si>
  <si>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</si>
  <si>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</si>
  <si>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</si>
  <si>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</si>
  <si>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</si>
  <si>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</si>
  <si>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</si>
  <si>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</si>
  <si>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</si>
  <si>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</si>
  <si>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</si>
  <si>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</si>
  <si>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</si>
  <si>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</si>
  <si>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</si>
  <si>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</si>
  <si>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</si>
  <si>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</si>
  <si>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</si>
  <si>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</si>
  <si>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</si>
  <si>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</si>
  <si>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</si>
  <si>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</si>
  <si>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</si>
  <si>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</si>
  <si>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</si>
  <si>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</si>
  <si>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</si>
  <si>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</si>
  <si>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</si>
  <si>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</si>
  <si>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</si>
  <si>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</si>
  <si>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</si>
  <si>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</si>
  <si>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</si>
  <si>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</si>
  <si>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</si>
  <si>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</si>
  <si>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</si>
  <si>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</si>
  <si>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</si>
  <si>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</si>
  <si>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</si>
  <si>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</si>
  <si>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</si>
  <si>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</si>
  <si>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</si>
  <si>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</si>
  <si>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</si>
  <si>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</si>
  <si>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</si>
  <si>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</si>
  <si>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</si>
  <si>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</si>
  <si>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</si>
  <si>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</si>
  <si>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</si>
  <si>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</si>
  <si>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</si>
  <si>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</si>
  <si>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</si>
  <si>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</si>
  <si>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</si>
  <si>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</si>
  <si>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</si>
  <si>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</si>
  <si>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</si>
  <si>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</si>
  <si>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</si>
  <si>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</si>
  <si>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</si>
  <si>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</si>
  <si>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</si>
  <si>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</si>
  <si>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</si>
  <si>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</si>
  <si>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</si>
  <si>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</si>
  <si>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</si>
  <si>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</si>
  <si>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</si>
  <si>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</si>
  <si>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</si>
  <si>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</si>
  <si>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</si>
  <si>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</si>
  <si>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</si>
  <si>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</si>
  <si>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</si>
  <si>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</si>
  <si>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</si>
  <si>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</si>
  <si>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</si>
  <si>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</si>
  <si>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</si>
  <si>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</si>
  <si>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</si>
  <si>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</si>
  <si>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</si>
  <si>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</si>
  <si>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</si>
  <si>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</si>
  <si>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</si>
  <si>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</si>
  <si>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</si>
  <si>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</si>
  <si>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</si>
  <si>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</si>
  <si>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</si>
  <si>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</si>
  <si>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</si>
  <si>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</si>
  <si>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</si>
  <si>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</si>
  <si>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</si>
  <si>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</si>
  <si>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</si>
  <si>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</si>
  <si>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</si>
  <si>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</si>
  <si>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</si>
  <si>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</si>
  <si>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</si>
  <si>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</si>
  <si>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</si>
  <si>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</si>
  <si>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</si>
  <si>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</si>
  <si>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</si>
  <si>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</si>
  <si>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</si>
  <si>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</si>
  <si>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</si>
  <si>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</si>
  <si>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</si>
  <si>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</si>
  <si>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</si>
  <si>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</si>
  <si>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</si>
  <si>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</si>
  <si>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</si>
  <si>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</si>
  <si>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</si>
  <si>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</si>
  <si>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</si>
  <si>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</si>
  <si>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</si>
  <si>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</si>
  <si>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</si>
  <si>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</si>
  <si>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</si>
  <si>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</si>
  <si>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</si>
  <si>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</si>
  <si>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</si>
  <si>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</si>
  <si>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</si>
  <si>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</si>
  <si>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</si>
  <si>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</si>
  <si>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</si>
  <si>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</si>
  <si>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</si>
  <si>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</si>
  <si>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</si>
  <si>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</si>
  <si>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</si>
  <si>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</si>
  <si>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</si>
  <si>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</si>
  <si>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</si>
  <si>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</si>
  <si>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</si>
  <si>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</si>
  <si>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</si>
  <si>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</si>
  <si>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</si>
  <si>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</si>
  <si>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</si>
  <si>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</si>
  <si>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</si>
  <si>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</si>
  <si>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</si>
  <si>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</si>
  <si>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</si>
  <si>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</si>
  <si>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</si>
  <si>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</si>
  <si>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</si>
  <si>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</si>
  <si>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</si>
  <si>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</si>
  <si>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</si>
  <si>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</si>
  <si>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</si>
  <si>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</si>
  <si>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</si>
  <si>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</si>
  <si>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</si>
  <si>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</si>
  <si>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</si>
  <si>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</si>
  <si>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</si>
  <si>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</si>
  <si>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</si>
  <si>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</si>
  <si>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</si>
  <si>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</si>
  <si>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</si>
  <si>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</si>
  <si>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</si>
  <si>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</si>
  <si>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</si>
  <si>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</si>
  <si>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</si>
  <si>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</si>
  <si>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</si>
  <si>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</si>
  <si>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</si>
  <si>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</si>
  <si>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</si>
  <si>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</si>
  <si>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</si>
  <si>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</si>
  <si>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</si>
  <si>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</si>
  <si>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</si>
  <si>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</si>
  <si>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</si>
  <si>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</si>
  <si>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</si>
  <si>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</si>
  <si>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</si>
  <si>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</si>
  <si>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</si>
  <si>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</si>
  <si>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</si>
  <si>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</si>
  <si>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</si>
  <si>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</si>
  <si>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</si>
  <si>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</si>
  <si>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</si>
  <si>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</si>
  <si>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</si>
  <si>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</si>
  <si>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</si>
  <si>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</si>
  <si>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</si>
  <si>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</si>
  <si>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</si>
  <si>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</si>
  <si>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</si>
  <si>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</si>
  <si>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</si>
  <si>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</si>
  <si>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</si>
  <si>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</si>
  <si>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</si>
  <si>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</si>
  <si>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</si>
  <si>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</si>
  <si>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</si>
  <si>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</si>
  <si>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</si>
  <si>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</si>
  <si>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</si>
  <si>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</si>
  <si>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</si>
  <si>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</si>
  <si>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</si>
  <si>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</si>
  <si>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</si>
  <si>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</si>
  <si>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</si>
  <si>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</si>
  <si>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</si>
  <si>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</si>
  <si>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</si>
  <si>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</si>
  <si>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</si>
  <si>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</si>
  <si>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</si>
  <si>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</si>
  <si>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</si>
  <si>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</si>
  <si>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</si>
  <si>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</si>
  <si>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</si>
  <si>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</si>
  <si>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</si>
  <si>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</si>
  <si>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</si>
  <si>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</si>
  <si>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</si>
  <si>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</si>
  <si>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</si>
  <si>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</si>
  <si>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</si>
  <si>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</si>
  <si>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</si>
  <si>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</si>
  <si>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</si>
  <si>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</si>
  <si>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</si>
  <si>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</si>
  <si>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</si>
  <si>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</si>
  <si>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</si>
  <si>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</si>
  <si>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</si>
  <si>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</si>
  <si>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</si>
  <si>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</si>
  <si>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</si>
  <si>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</si>
  <si>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</si>
  <si>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</si>
  <si>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</si>
  <si>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</si>
  <si>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</si>
  <si>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</si>
  <si>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</si>
  <si>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</si>
  <si>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</si>
  <si>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</si>
  <si>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</si>
  <si>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</si>
  <si>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</si>
  <si>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</si>
  <si>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</si>
  <si>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</si>
  <si>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</si>
  <si>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</si>
  <si>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</si>
  <si>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</si>
  <si>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</si>
  <si>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</si>
  <si>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</si>
  <si>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</si>
  <si>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</si>
  <si>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</si>
  <si>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</si>
  <si>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</si>
  <si>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</si>
  <si>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</si>
  <si>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</si>
  <si>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</si>
  <si>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</si>
  <si>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</si>
  <si>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</si>
  <si>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</si>
  <si>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</si>
  <si>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</si>
  <si>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</si>
  <si>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</si>
  <si>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</si>
  <si>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</si>
  <si>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</si>
  <si>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</si>
  <si>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</si>
  <si>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</si>
  <si>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</si>
  <si>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</si>
  <si>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</si>
  <si>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</si>
  <si>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</si>
  <si>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</si>
  <si>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</si>
  <si>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</si>
  <si>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</si>
  <si>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</si>
  <si>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</si>
  <si>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</si>
  <si>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</si>
  <si>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</si>
  <si>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</si>
  <si>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</si>
  <si>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</si>
  <si>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</si>
  <si>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</si>
  <si>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</si>
  <si>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</si>
  <si>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</si>
  <si>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</si>
  <si>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</si>
  <si>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</si>
  <si>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</si>
  <si>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</si>
  <si>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</si>
  <si>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</si>
  <si>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</si>
  <si>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</si>
  <si>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</si>
  <si>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</si>
  <si>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</si>
  <si>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</si>
  <si>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</si>
  <si>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</si>
  <si>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</si>
  <si>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</si>
  <si>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</si>
  <si>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</si>
  <si>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</si>
  <si>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</si>
  <si>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</si>
  <si>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</si>
  <si>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</si>
  <si>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</si>
  <si>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</si>
  <si>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</si>
  <si>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</si>
  <si>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</si>
  <si>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</si>
  <si>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</si>
  <si>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</si>
  <si>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</si>
  <si>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</si>
  <si>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</si>
  <si>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</si>
  <si>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</si>
  <si>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</si>
  <si>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</si>
  <si>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</si>
  <si>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</si>
  <si>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</si>
  <si>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</si>
  <si>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</si>
  <si>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</si>
  <si>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</si>
  <si>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</si>
  <si>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</si>
  <si>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</si>
  <si>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</si>
  <si>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</si>
  <si>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</si>
  <si>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</si>
  <si>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</si>
  <si>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</si>
  <si>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</si>
  <si>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</si>
  <si>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</si>
  <si>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</si>
  <si>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</si>
  <si>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</si>
  <si>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</si>
  <si>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</si>
  <si>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</si>
  <si>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</si>
  <si>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</si>
  <si>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</si>
  <si>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</si>
  <si>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</si>
  <si>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</si>
  <si>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</si>
  <si>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</si>
  <si>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</si>
  <si>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</si>
  <si>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</si>
  <si>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</si>
  <si>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</si>
  <si>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</si>
  <si>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</si>
  <si>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</si>
  <si>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</si>
  <si>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</si>
  <si>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</si>
  <si>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</si>
  <si>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</si>
  <si>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</si>
  <si>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</si>
  <si>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</si>
  <si>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</si>
  <si>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</si>
  <si>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</si>
  <si>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</si>
  <si>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</si>
  <si>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</si>
  <si>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</si>
  <si>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</si>
  <si>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</si>
  <si>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</si>
  <si>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</si>
  <si>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</si>
  <si>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</si>
  <si>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</si>
  <si>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</si>
  <si>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</si>
  <si>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</si>
  <si>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</si>
  <si>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</si>
  <si>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</si>
  <si>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</si>
  <si>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</si>
  <si>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</si>
  <si>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</si>
  <si>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</si>
  <si>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</si>
  <si>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</si>
  <si>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</si>
  <si>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</si>
  <si>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</si>
  <si>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</si>
  <si>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USA</t>
  </si>
  <si>
    <t>Calendar</t>
  </si>
  <si>
    <t>PAW - 780 Nittany</t>
  </si>
  <si>
    <t>4140081</t>
  </si>
  <si>
    <t>Walker Twp</t>
  </si>
  <si>
    <t xml:space="preserve"> 10% of new meter inventory is tested from manufacturer before meters are placed in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</si>
</sst>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63.336742075852882</c:v>
                </c:pt>
                <c:pt idx="1">
                  <c:v>2.0024160337996988</c:v>
                </c:pt>
                <c:pt idx="2">
                  <c:v>184.96284611530973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3.3184651753305676</c:v>
                </c:pt>
                <c:pt idx="1">
                  <c:v>0.26113598867139654</c:v>
                </c:pt>
                <c:pt idx="2">
                  <c:v>29.062397419922604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30.551614102880325</c:v>
                </c:pt>
                <c:pt idx="1">
                  <c:v>0.92482240795754933</c:v>
                </c:pt>
                <c:pt idx="2">
                  <c:v>84.126364483855795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19.333865048735902</c:v>
                </c:pt>
                <c:pt idx="1">
                  <c:v>0.38772920688421864</c:v>
                </c:pt>
                <c:pt idx="2">
                  <c:v>28.744556604907206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11.217749054144422</c:v>
                </c:pt>
                <c:pt idx="1">
                  <c:v>0.56875750335916142</c:v>
                </c:pt>
                <c:pt idx="2">
                  <c:v>59.308181362391593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85</c:v>
                </c:pt>
                <c:pt idx="1">
                  <c:v>1.2666666666666666</c:v>
                </c:pt>
                <c:pt idx="2" formatCode="General">
                  <c:v>113.73333333333333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7.9000000000000001E-2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3.0000000000000001E-3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8.8622499999999993E-2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0.7250612244897956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7.9000000000000001E-2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16.145216577625007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$22,559/Yr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40.453530000000008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1.5362100000000001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1417.0737750000001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11568.774765918362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1263.21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8267.4810529044389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2.4834004267323957</c:v>
                </c:pt>
                <c:pt idx="1">
                  <c:v>9.0856271993300333E-2</c:v>
                </c:pt>
                <c:pt idx="2">
                  <c:v>8.7827773004368463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60.018276900522316</c:v>
                </c:pt>
                <c:pt idx="1">
                  <c:v>1.8469276802355887</c:v>
                </c:pt>
                <c:pt idx="2">
                  <c:v>169.00075544869068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3009.0795969853707</c:v>
                </c:pt>
                <c:pt idx="1">
                  <c:v>97.186039594358903</c:v>
                </c:pt>
                <c:pt idx="2" formatCode="_(* #,##0_);_(* \(#,##0\);_(* &quot;-&quot;??_);_(@_)">
                  <c:v>9041.9893127151317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image" Target="../media/image10.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Lm"/><Relationship Id="rId28" Type="http://schemas.openxmlformats.org/officeDocument/2006/relationships/hyperlink" Target="#'Interactive Data Grading'!VPC"/><Relationship Id="rId10" Type="http://schemas.openxmlformats.org/officeDocument/2006/relationships/image" Target="../media/image7.emf"/><Relationship Id="rId19" Type="http://schemas.openxmlformats.org/officeDocument/2006/relationships/hyperlink" Target="#'Interactive Data Grading'!VOSEA"/><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hyperlink" Target="#'Interactive Data Grading'!AOP"/><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4246"/>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82709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4246"/>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82709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4246"/>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82709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4128" y="248260"/>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82709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3576" y="248260"/>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827096"/>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6710" y="255710"/>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827097"/>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6980" y="248382"/>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827098"/>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598963" y="248260"/>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827099"/>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52046"/>
          <a:ext cx="708514"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827100"/>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8260"/>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827101"/>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8259"/>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827102"/>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7967"/>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827103"/>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39682" y="584246"/>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827104"/>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4246"/>
          <a:ext cx="709088"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827105"/>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0246" y="584246"/>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827106"/>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2380" y="584246"/>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827107"/>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2979" y="584246"/>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827108"/>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0285" y="584246"/>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827109"/>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5649" y="233606"/>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827110"/>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7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71"/>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W19" sqref="W1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1280</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1275</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1276</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1277</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1282</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1278</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46086</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1279</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1281</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2142</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E17" sqref="E17"/>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- 780 Nittany</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52.472999999999999</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7.0000000000000001E-3</v>
      </c>
      <c r="P15" s="580" t="s">
        <v>787</v>
      </c>
      <c r="Q15" s="1033"/>
      <c r="R15" s="1038"/>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0.367311</v>
      </c>
      <c r="Y15" s="103">
        <f>$Y$19/$Y$18*H15</f>
        <v>34.577404195264812</v>
      </c>
      <c r="Z15" s="147">
        <f>$Y$19/$Y$18*ABS(X15)</f>
        <v>0.2420418293668537</v>
      </c>
      <c r="AA15" s="896">
        <f>IF(W15=1,input_VOS-input_VOS/(1+O15*AB15),Q15*AB15)</f>
        <v>-0.36990030211480729</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52.842900302114806</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7</v>
      </c>
      <c r="G17" s="94"/>
      <c r="H17" s="321">
        <v>0.27400000000000002</v>
      </c>
      <c r="I17" s="269"/>
      <c r="J17" s="270" t="str">
        <f>IF('Start Page'!$AB$22="million gallons (US)","MG/Yr",IF('Start Page'!$AB$22="Megalitres (thousand cubic metres)","ML/Yr",IF('Start Page'!$AB$22="acre-feet","Acre-ft/Yr","")))</f>
        <v>MG/Yr</v>
      </c>
      <c r="K17" s="844" t="s">
        <v>881</v>
      </c>
      <c r="L17" s="607" t="s">
        <v>882</v>
      </c>
      <c r="M17" s="492">
        <f>'Interactive Data Grading'!D150</f>
        <v>4</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0.18055397536833342</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0.27400000000000002</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53.114311000000001</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52.568900302114805</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35.448999999999998</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13.968869623958568</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3.1130376041432112E-2</v>
      </c>
      <c r="Z24" s="146"/>
    </row>
    <row r="25" spans="1:33" ht="13.35" customHeight="1">
      <c r="A25" s="91"/>
      <c r="B25" s="562" t="s">
        <v>919</v>
      </c>
      <c r="C25" s="529" t="s">
        <v>483</v>
      </c>
      <c r="D25" s="841" t="s">
        <v>881</v>
      </c>
      <c r="E25" s="577" t="s">
        <v>882</v>
      </c>
      <c r="F25" s="492">
        <f>'Interactive Data Grading'!D224</f>
        <v>10</v>
      </c>
      <c r="G25" s="94"/>
      <c r="H25" s="501">
        <v>7.9000000000000001E-2</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35.527999999999999</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3.0000000000000001E-3</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3.0000000000000001E-3</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35.530999999999999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17.037900302114807</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7.9000000000000001E-2</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7.9000000000000001E-2</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2</v>
      </c>
      <c r="G41" s="204"/>
      <c r="H41" s="602">
        <f>IF(OR(T41="Select…..",T41=""),"Select under/over",IF(W41=1,((H23+H25)/(1-(O41*X41)))-(H23+H25),Q41*X41))</f>
        <v>0.72506122448979937</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8.8622499999999993E-2</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0.89268372448979938</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0.72344897959183641</v>
      </c>
      <c r="Y50" s="135">
        <f>IFERROR(IF(W41=1,((H25)/(1-(O41*X41)))-(H25),Q41*H25/(H23+H25)),0)</f>
        <v>1.6122448979591919E-3</v>
      </c>
      <c r="Z50" s="923">
        <f>SUM(X50:Y50)</f>
        <v>0.7250612244897956</v>
      </c>
      <c r="AA50" s="1070"/>
      <c r="AB50" s="1070"/>
      <c r="AC50" s="1070"/>
    </row>
    <row r="51" spans="1:29">
      <c r="A51" s="91"/>
      <c r="B51" s="562"/>
      <c r="C51" s="1050" t="s">
        <v>662</v>
      </c>
      <c r="D51" s="1050"/>
      <c r="E51" s="1050"/>
      <c r="F51" s="1050"/>
      <c r="G51" s="869"/>
      <c r="H51" s="868">
        <f>IFERROR(H35-H46,"")</f>
        <v>16.145216577625007</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11567.949183673465</v>
      </c>
      <c r="Y51" s="940">
        <f>Y50*input_VPC</f>
        <v>0.8255822448979635</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17.037900302114807</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17.119900302114807</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14.7</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737</v>
      </c>
      <c r="I62" s="291"/>
      <c r="J62" s="292"/>
      <c r="K62" s="101"/>
      <c r="L62" s="101"/>
      <c r="M62" s="292" t="s">
        <v>902</v>
      </c>
      <c r="N62" s="101"/>
      <c r="U62" s="256"/>
      <c r="V62" s="91"/>
    </row>
    <row r="63" spans="1:29">
      <c r="A63" s="91"/>
      <c r="B63" s="562"/>
      <c r="C63" s="529" t="s">
        <v>165</v>
      </c>
      <c r="D63" s="53"/>
      <c r="E63" s="512"/>
      <c r="F63" s="273"/>
      <c r="G63" s="53"/>
      <c r="H63" s="500">
        <f>IF(ISERROR(H62/H61),"",H62/H61)</f>
        <v>50.136054421768712</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18.600000000000001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18.600000000000001</v>
      </c>
      <c r="X67" s="54" t="s">
        <v>130</v>
      </c>
      <c r="Y67" s="54"/>
      <c r="Z67" s="54"/>
    </row>
    <row r="68" spans="1:26">
      <c r="A68" s="91"/>
      <c r="B68" s="562" t="s">
        <v>915</v>
      </c>
      <c r="C68" s="529" t="s">
        <v>487</v>
      </c>
      <c r="D68" s="841" t="s">
        <v>881</v>
      </c>
      <c r="E68" s="577" t="s">
        <v>882</v>
      </c>
      <c r="F68" s="492">
        <f>'Interactive Data Grading'!D422</f>
        <v>8</v>
      </c>
      <c r="G68" s="53"/>
      <c r="H68" s="325">
        <v>85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9</v>
      </c>
      <c r="H77" s="326">
        <v>512.07000000000005</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232020</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Volume from Own Sources (VOS)</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30" zoomScaleNormal="130" zoomScaleSheetLayoutView="30" workbookViewId="0">
      <pane ySplit="4" topLeftCell="A116" activePane="bottomLeft" state="frozen"/>
      <selection activeCell="B15" sqref="B15:F17"/>
      <selection pane="bottomLeft" activeCell="C119" sqref="C119"/>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- 780 Nittany</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302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269</v>
      </c>
      <c r="E14" s="753" t="str">
        <f t="shared" ref="E14:E19" si="1">IFERROR(IF(OR($D$20=10,NOT(ISNUMBER($D$20))),"",IF(I14=$I$20,"Limiting","")),"")</f>
        <v>Limiting</v>
      </c>
      <c r="F14" s="327"/>
      <c r="G14" s="810">
        <f>IF(D13=VOS!F23,1,IFERROR(IF(H9&lt;7,1,IF(LEN(D14)&gt;0,1,0)),""))</f>
        <v>1</v>
      </c>
      <c r="H14" s="818">
        <f>VLOOKUP('Interactive Data Grading'!D14,VOS!$G$6:$M$16,7,FALSE)</f>
        <v>7</v>
      </c>
      <c r="I14" s="819">
        <f>IF(AND(H11&gt;=7,H14&gt;=7),MAX(H14,9),IF(AND(H11&gt;3,H11&lt;7,H14&gt;3,H14&lt;7),MAX(H11,H14),IF(H11&gt;=7,MAX(7,H14),H14)))</f>
        <v>9</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399999999999999"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t="s">
        <v>302</v>
      </c>
      <c r="E118" s="753" t="str">
        <f>IFERROR(IF(OR($D$127=10,NOT(ISNUMBER($D$127))),"",IF(I118=$I$127,"Limiting","")),"")</f>
        <v/>
      </c>
      <c r="F118" s="327"/>
      <c r="G118" s="810">
        <f>IFERROR(IF(H116&lt;7,1,IF(LEN(D118)&gt;0,1,0)),"")</f>
        <v>1</v>
      </c>
      <c r="H118" s="818">
        <f>VLOOKUP('Interactive Data Grading'!D118,WE!$D$6:$M$16,10,FALSE)</f>
        <v>10</v>
      </c>
      <c r="I118" s="819">
        <f>IF(AND(H118&gt;=7,H121&gt;=7),MAX(H118,9),IF(AND(H118&gt;3,H118&lt;7,H121&gt;3,H121&lt;7),MAX(H118,H121),IF(H121&gt;=7,MAX(7,H118),H118)))</f>
        <v>10</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f>IFERROR(IF(H116&lt;7,1,IF(OR(D118=WE!D23,D118=WE!D27),1,IF(LEN(D119)&gt;0,1,0))),"")</f>
        <v>1</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f>IFERROR(IF(H116&lt;7,1,IF(OR(D118=WE!D23,D118=WE!D27),1,IF(LEN(D120)&gt;0,1,0))),"")</f>
        <v>1</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t="s">
        <v>266</v>
      </c>
      <c r="E121" s="753" t="str">
        <f t="shared" si="9"/>
        <v>Limiting</v>
      </c>
      <c r="F121" s="327"/>
      <c r="G121" s="810">
        <f>IFERROR(IF(H116&lt;7,1,IF(LEN(D121)&gt;0,1,0)),"")</f>
        <v>1</v>
      </c>
      <c r="H121" s="818">
        <f>VLOOKUP('Interactive Data Grading'!D121,WE!$G$6:$M$16,7,FALSE)</f>
        <v>5</v>
      </c>
      <c r="I121" s="819">
        <f>IF(AND(H118&gt;=7,H121&gt;=7),MAX(H121,9),IF(AND(H118&gt;3,H118&lt;7,H121&gt;3,H121&lt;7),MAX(H118,H121),IF(H118&gt;=7,MAX(7,H121),H121)))</f>
        <v>7</v>
      </c>
    </row>
    <row r="122" spans="1:18" ht="19.95"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2"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7</v>
      </c>
      <c r="E127" s="753"/>
      <c r="F127" s="327"/>
      <c r="G127" s="810">
        <f>MIN(G116:G126)</f>
        <v>1</v>
      </c>
      <c r="H127" s="821" t="e">
        <f>MIN(H116:H126)</f>
        <v>#N/A</v>
      </c>
      <c r="I127" s="821">
        <f t="array" ref="I127">MIN(IF(ISNUMBER(I116:I126),I116:I126))</f>
        <v>7</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t="s">
        <v>372</v>
      </c>
      <c r="E146" s="753" t="str">
        <f>IFERROR(IF(OR($D$150="",$H146=10,NOT(ISNUMBER($H146))),"",IF(H146=$H$150,"Limiting","")),"")</f>
        <v/>
      </c>
      <c r="F146" s="327"/>
      <c r="G146" s="824">
        <f t="shared" ref="G146" si="10">IF(LEN(D146)&gt;0,1,0)</f>
        <v>1</v>
      </c>
      <c r="H146" s="818">
        <f>VLOOKUP('Interactive Data Grading'!D146,WEEA!$C$6:$G$16,5,FALSE)</f>
        <v>10</v>
      </c>
      <c r="I146" s="818"/>
    </row>
    <row r="147" spans="1:18" ht="27.6" customHeight="1">
      <c r="A147" s="215"/>
      <c r="B147" s="555" t="s">
        <v>390</v>
      </c>
      <c r="C147" s="884" t="str">
        <f>WEEA!B35</f>
        <v>Are meter accuracy testing or electronic calibration requirements stipulated in the water purchase agreement?</v>
      </c>
      <c r="D147" s="329" t="s">
        <v>368</v>
      </c>
      <c r="E147" s="753" t="str">
        <f t="shared" ref="E147:E149" si="11">IFERROR(IF(OR($D$150="",$H147=10,NOT(ISNUMBER($H147))),"",IF(H147=$H$150,"Limiting","")),"")</f>
        <v/>
      </c>
      <c r="F147" s="327"/>
      <c r="G147" s="824">
        <f>IF(OR(LEN(D147)&gt;0,D146=WEEA!$C$23),1,0)</f>
        <v>1</v>
      </c>
      <c r="H147" s="818">
        <f>VLOOKUP('Interactive Data Grading'!D147,WEEA!$D$6:$G$16,4,FALSE)</f>
        <v>6</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t="s">
        <v>267</v>
      </c>
      <c r="E148" s="753" t="str">
        <f t="shared" si="11"/>
        <v>Limiting</v>
      </c>
      <c r="F148" s="327"/>
      <c r="G148" s="824">
        <f t="shared" ref="G148:G149" si="12">IF(LEN(D148)&gt;0,1,0)</f>
        <v>1</v>
      </c>
      <c r="H148" s="818">
        <f>VLOOKUP('Interactive Data Grading'!D148,WEEA!$E$6:$G$16,3,FALSE)</f>
        <v>4</v>
      </c>
      <c r="I148" s="819"/>
    </row>
    <row r="149" spans="1:18" ht="27.6" customHeight="1">
      <c r="A149" s="215"/>
      <c r="B149" s="555" t="s">
        <v>392</v>
      </c>
      <c r="C149" s="884" t="str">
        <f>WEEA!B37</f>
        <v>Who has access to the import meter readings including current and archived data?</v>
      </c>
      <c r="D149" s="329" t="s">
        <v>370</v>
      </c>
      <c r="E149" s="753" t="str">
        <f t="shared" si="11"/>
        <v/>
      </c>
      <c r="F149" s="327"/>
      <c r="G149" s="824">
        <f t="shared" si="12"/>
        <v>1</v>
      </c>
      <c r="H149" s="818">
        <f>VLOOKUP('Interactive Data Grading'!D149,WEEA!$F$6:$G$16,2,FALSE)</f>
        <v>7</v>
      </c>
      <c r="I149" s="819"/>
    </row>
    <row r="150" spans="1:18" ht="27.6" customHeight="1">
      <c r="A150" s="215"/>
      <c r="B150" s="215"/>
      <c r="C150" s="328" t="s">
        <v>313</v>
      </c>
      <c r="D150" s="895">
        <f>IF(D115="No","n/a",IF(G150=0,"",H150))</f>
        <v>4</v>
      </c>
      <c r="E150" s="753"/>
      <c r="F150" s="327"/>
      <c r="G150" s="824">
        <f>MIN(G146:G149)</f>
        <v>1</v>
      </c>
      <c r="H150" s="821">
        <f t="array" ref="H150">MIN(IF(ISNUMBER(H146:H149),H146:H149))</f>
        <v>4</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78"/>
      <c r="O270" s="1078"/>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852</v>
      </c>
      <c r="E292" s="753" t="str">
        <f t="shared" si="17"/>
        <v/>
      </c>
      <c r="F292" s="327"/>
      <c r="G292" s="810">
        <f t="shared" si="16"/>
        <v>1</v>
      </c>
      <c r="H292" s="818">
        <f>VLOOKUP('Interactive Data Grading'!D292,CMI!$D$6:$J$16,7,FALSE)</f>
        <v>3</v>
      </c>
      <c r="I292" s="818">
        <f>H292</f>
        <v>3</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t="e">
        <f>IF(OR(D292=CMI!D23,D292=CMI!D24),X,H293)</f>
        <v>#NAME?</v>
      </c>
      <c r="J293" s="810" t="s">
        <v>502</v>
      </c>
    </row>
    <row r="294" spans="1:18" ht="29.4" customHeight="1">
      <c r="A294" s="215"/>
      <c r="B294" s="555" t="s">
        <v>525</v>
      </c>
      <c r="C294" s="884" t="str">
        <f>CMI!B38</f>
        <v>For mid and large size customer meters, which best describes the frequency of the proactive testing program?</v>
      </c>
      <c r="D294" s="329" t="s">
        <v>853</v>
      </c>
      <c r="E294" s="753" t="str">
        <f t="shared" si="17"/>
        <v/>
      </c>
      <c r="F294" s="327"/>
      <c r="G294" s="810">
        <f t="shared" si="16"/>
        <v>1</v>
      </c>
      <c r="H294" s="818">
        <f>VLOOKUP('Interactive Data Grading'!D294,CMI!$F$6:$J$16,5,FALSE)</f>
        <v>3</v>
      </c>
      <c r="I294" s="818">
        <f>H294</f>
        <v>3</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t="e">
        <f>IF(OR(D294=CMI!F23,D294=CMI!F24),X,H295)</f>
        <v>#NAME?</v>
      </c>
      <c r="J295" s="810" t="s">
        <v>525</v>
      </c>
    </row>
    <row r="296" spans="1:18" ht="29.4" customHeight="1">
      <c r="A296" s="215"/>
      <c r="B296" s="555" t="s">
        <v>526</v>
      </c>
      <c r="C296" s="884" t="str">
        <f>CMI!B40</f>
        <v>Which best describes how the input was derived?</v>
      </c>
      <c r="D296" s="329" t="s">
        <v>851</v>
      </c>
      <c r="E296" s="753" t="str">
        <f t="shared" si="17"/>
        <v>Limiting</v>
      </c>
      <c r="F296" s="327"/>
      <c r="G296" s="810">
        <f t="shared" si="16"/>
        <v>1</v>
      </c>
      <c r="H296" s="818">
        <f>VLOOKUP('Interactive Data Grading'!D296,CMI!$H$6:$J$16,3,FALSE)</f>
        <v>2</v>
      </c>
      <c r="I296" s="818">
        <f>H296</f>
        <v>2</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2</v>
      </c>
      <c r="E300" s="753"/>
      <c r="F300" s="327"/>
      <c r="G300" s="810">
        <f>MIN(G290:G299)</f>
        <v>1</v>
      </c>
      <c r="H300" s="821">
        <f t="array" ref="H300">MIN(IF(ISNUMBER(H291:H297),H291:H297))</f>
        <v>2</v>
      </c>
      <c r="I300" s="821">
        <f t="array" ref="I300">MIN(IF(ISNUMBER(I290:I299),I290:I299))</f>
        <v>2</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716</v>
      </c>
      <c r="E421" s="753" t="str">
        <f t="shared" si="25"/>
        <v/>
      </c>
      <c r="F421" s="327"/>
      <c r="G421" s="824">
        <f t="shared" si="26"/>
        <v>1</v>
      </c>
      <c r="H421" s="818">
        <f>VLOOKUP('Interactive Data Grading'!D421,AOP!$G$6:$H$17,2,FALSE)</f>
        <v>9</v>
      </c>
      <c r="I421" s="818">
        <f>H421</f>
        <v>9</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Limiting</v>
      </c>
      <c r="F467" s="327"/>
      <c r="H467" s="825">
        <f>VLOOKUP('Interactive Data Grading'!D467,VPC!$E$6:$G$18,3,FALSE)</f>
        <v>9</v>
      </c>
      <c r="I467" s="833">
        <f>IF(D465=VPC!C17,10,'Interactive Data Grading'!H467)</f>
        <v>9</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9</v>
      </c>
      <c r="E469" s="753"/>
      <c r="F469" s="327"/>
      <c r="H469" s="821">
        <f>MIN(H465:H468)</f>
        <v>9</v>
      </c>
      <c r="I469" s="821">
        <f>MIN(I465:I468)</f>
        <v>9</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- 780 Nittany</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85</v>
      </c>
      <c r="BS6" s="710"/>
      <c r="BT6" s="709"/>
      <c r="BU6" s="711"/>
      <c r="BV6" s="711"/>
      <c r="BW6" s="711"/>
      <c r="BX6" s="58"/>
      <c r="BY6" s="58"/>
    </row>
    <row r="7" spans="1:77" s="244" customFormat="1" ht="12.9" customHeight="1">
      <c r="A7" s="243"/>
      <c r="B7" s="335"/>
      <c r="C7" s="58"/>
      <c r="D7" s="247"/>
      <c r="E7" s="852"/>
      <c r="F7" s="247"/>
      <c r="G7" s="247"/>
      <c r="H7" s="678"/>
      <c r="I7" s="792" t="s">
        <v>237</v>
      </c>
      <c r="J7" s="1090">
        <f>BR6</f>
        <v>85</v>
      </c>
      <c r="K7" s="1090"/>
      <c r="L7" s="793"/>
      <c r="M7" s="793"/>
      <c r="N7" s="793"/>
      <c r="O7" s="793"/>
      <c r="P7" s="793"/>
      <c r="Q7" s="792" t="s">
        <v>681</v>
      </c>
      <c r="R7" s="1089" t="str">
        <f>IF(BO2&gt;0,"",BR4)</f>
        <v>Tier IV (71-90)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85</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113.73333333333333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30.551614102880325</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30.551614102880325</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30.551614102880325</v>
      </c>
      <c r="AB18" s="1100"/>
      <c r="AC18" s="1100"/>
      <c r="AD18" s="871" t="str">
        <f>BD13</f>
        <v>$/conn/year</v>
      </c>
      <c r="AE18" s="872"/>
      <c r="AF18" s="873"/>
      <c r="AG18" s="873"/>
      <c r="AH18" s="874"/>
      <c r="AI18" s="874"/>
      <c r="AJ18" s="872"/>
      <c r="AK18" s="1100">
        <f>BS22</f>
        <v>19.333865048735902</v>
      </c>
      <c r="AL18" s="1100"/>
      <c r="AM18" s="1100"/>
      <c r="AN18" s="871" t="str">
        <f>BD13</f>
        <v>$/conn/year</v>
      </c>
      <c r="AO18" s="872"/>
      <c r="AP18" s="872"/>
      <c r="AQ18" s="872"/>
      <c r="AR18" s="872"/>
      <c r="AS18" s="872"/>
      <c r="AT18" s="872"/>
      <c r="AU18" s="1100">
        <f>BS29</f>
        <v>11.217749054144422</v>
      </c>
      <c r="AV18" s="1100"/>
      <c r="AW18" s="1100"/>
      <c r="AX18" s="871" t="str">
        <f>BD13</f>
        <v>$/conn/year</v>
      </c>
      <c r="AY18" s="701"/>
      <c r="AZ18" s="247"/>
      <c r="BA18" s="247"/>
      <c r="BB18" s="342"/>
      <c r="BC18" s="109"/>
      <c r="BD18" s="58" t="s">
        <v>706</v>
      </c>
      <c r="BE18" s="234">
        <f>(((5.41*Worksheet!H61)+(0.15*Worksheet!H62)+(7.5*(Worksheet!H62*Worksheet!W67/5280)))*Worksheet!H68)/1000000*365</f>
        <v>6.5012538468750014</v>
      </c>
      <c r="BN18" s="659"/>
      <c r="BO18" s="716" t="s">
        <v>1039</v>
      </c>
      <c r="BP18" s="718">
        <f>BQ18-BQ17</f>
        <v>8.9525318444022357</v>
      </c>
      <c r="BQ18" s="900">
        <f t="shared" si="0"/>
        <v>18.283980813778896</v>
      </c>
      <c r="BR18" s="716" t="s">
        <v>779</v>
      </c>
      <c r="BS18" s="720">
        <f>SUM(BP16:BP20)-SUM(BS16,BS17)</f>
        <v>84.126364483855795</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19.951589293014564</v>
      </c>
      <c r="BF19" s="233">
        <f>BE19*325851.427242/Worksheet!H62/365</f>
        <v>24.167780698778838</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37.133977625000007</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19.333865048735902</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19.333865048735902</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28.744556604907206</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63.336742075852882</v>
      </c>
      <c r="AB29" s="1104"/>
      <c r="AC29" s="1104"/>
      <c r="AD29" s="870" t="str">
        <f>BD10</f>
        <v>gal/conn/day</v>
      </c>
      <c r="AE29" s="870"/>
      <c r="AF29" s="875"/>
      <c r="AG29" s="875"/>
      <c r="AH29" s="700"/>
      <c r="AI29" s="700"/>
      <c r="AJ29" s="700"/>
      <c r="AK29" s="1104">
        <f>BS43</f>
        <v>3.3184651753305676</v>
      </c>
      <c r="AL29" s="1104"/>
      <c r="AM29" s="1104"/>
      <c r="AN29" s="871" t="str">
        <f>BD10</f>
        <v>gal/conn/day</v>
      </c>
      <c r="AO29" s="700"/>
      <c r="AP29" s="700"/>
      <c r="AQ29" s="700"/>
      <c r="AR29" s="700"/>
      <c r="AS29" s="700"/>
      <c r="AT29" s="700"/>
      <c r="AU29" s="1110">
        <f>BS55</f>
        <v>60.018276900522316</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11.217749054144422</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11.217749054144422</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85</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59.308181362391593</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63.336742075852882</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63.336742075852882</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184.96284611530973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2.4834004267323957</v>
      </c>
      <c r="AI41" s="1109"/>
      <c r="AJ41" s="1109"/>
      <c r="AK41" s="870" t="s">
        <v>1048</v>
      </c>
      <c r="AL41" s="799"/>
      <c r="AM41" s="800"/>
      <c r="AN41" s="796"/>
      <c r="AO41" s="796"/>
      <c r="AP41" s="796"/>
      <c r="AQ41" s="796"/>
      <c r="AR41" s="796"/>
      <c r="AS41" s="1108">
        <f>BS69</f>
        <v>3009.0795969853707</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6.5012538468750014</v>
      </c>
      <c r="AL43" s="1106"/>
      <c r="AM43" s="1106"/>
      <c r="AN43" s="1106"/>
      <c r="AO43" s="916" t="str">
        <f>BD7</f>
        <v>MG/Yr</v>
      </c>
      <c r="AP43" s="700"/>
      <c r="AQ43" s="700"/>
      <c r="AR43" s="700"/>
      <c r="AS43" s="1106">
        <f>IF(BG19=1,BF19,IFERROR(AK43*1000000/Worksheet!H62/365,""))</f>
        <v>24.167780698778838</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3.3184651753305676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3.3184651753305676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29.062397419922604</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0.89268372448979938</v>
      </c>
      <c r="J49" s="1115"/>
      <c r="K49" s="1115"/>
      <c r="L49" s="1115"/>
      <c r="M49" s="683"/>
      <c r="N49" s="1116">
        <f>IF(OR(ISBLANK('Start Page'!$AB$22),ISBLANK(Worksheet!J76)),"",(SUM(Worksheet!H43+Worksheet!H39+Worksheet!X50)*Worksheet!H76)*INDEX(Sheet1!B2:D4,MATCH('Start Page'!AB22,Sheet1!A2:A4,0),MATCH(Worksheet!J76,Sheet1!B1:D1,0))+Worksheet!Y50*Worksheet!H77)</f>
        <v>14249.05854091836</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16.145216577625007</v>
      </c>
      <c r="J50" s="1115"/>
      <c r="K50" s="1115"/>
      <c r="L50" s="1115"/>
      <c r="M50" s="683"/>
      <c r="N50" s="1116">
        <f>IFERROR(IF(Worksheet!H41="Select under/over","",IF(ISBLANK('Start Page'!AB22),"",Worksheet!H51*(IF(BD29=FALSE,Worksheet!H77,IF(BD29=TRUE,Worksheet!H76*INDEX(Sheet1!B2:D4,MATCH('Start Page'!AB22,Sheet1!A2:A4,0),MATCH(Worksheet!J76,Sheet1!B1:D1,0)),""))))),"")</f>
        <v>8267.4810529044389</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8.2000000000000003E-2</v>
      </c>
      <c r="J51" s="1115"/>
      <c r="K51" s="1115"/>
      <c r="L51" s="1115"/>
      <c r="M51" s="683"/>
      <c r="N51" s="1116">
        <f>IFERROR(IF(SUM(Sheet1!D90:D91)=0,"",SUM(Sheet1!D90:D91)),"")</f>
        <v>41.989740000000005</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17.119900302114807</v>
      </c>
      <c r="J52" s="1115"/>
      <c r="K52" s="1115"/>
      <c r="L52" s="1115"/>
      <c r="M52" s="683"/>
      <c r="N52" s="1116">
        <f>IF(SUM(N49:N51)=0,"",SUM(N49:N51))</f>
        <v>22558.5293338228</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60.018276900522316</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60.018276900522316</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169.00075544869068</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2.4834004267323957</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2.4834004267323957</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8.7827773004368463</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3009.0795969853707</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3009.0795969853707</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9041.9893127151317</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32.665808526427512</v>
      </c>
      <c r="BQ83" s="733">
        <f>BP83+BQ78</f>
        <v>85</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38" activePane="bottomLeft" state="frozen"/>
      <selection activeCell="F138" sqref="F138"/>
      <selection pane="bottomLeft" activeCell="H43" sqref="H43:H45"/>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- 780 Nittany</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t="s">
        <v>1283</v>
      </c>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17 MG/Yr</v>
      </c>
    </row>
    <row r="79" spans="1:6" ht="13.8">
      <c r="B79" s="52"/>
      <c r="C79" s="52"/>
      <c r="D79" s="52"/>
      <c r="E79" s="9" t="str">
        <f>IFERROR("Total Cost of NRW = $"&amp;TEXT(SUM(D90,D91,D94,D95,D96,D97,D99),"#,###")&amp;"/Yr","")</f>
        <v>Total Cost of NRW = $22,559/Yr</v>
      </c>
      <c r="F79" s="52"/>
    </row>
    <row r="80" spans="1:6">
      <c r="A80"/>
      <c r="B80"/>
      <c r="C80" s="53" t="str">
        <f>"Volume ("&amp;Worksheet!J15&amp;")"</f>
        <v>Volume (MG/Yr)</v>
      </c>
      <c r="D80" s="53" t="s">
        <v>147</v>
      </c>
      <c r="E80" s="94" t="s">
        <v>1085</v>
      </c>
      <c r="F80"/>
    </row>
    <row r="81" spans="1:6">
      <c r="A81" s="46" t="s">
        <v>127</v>
      </c>
      <c r="B81" s="46"/>
      <c r="C81" s="122">
        <f>IF(Dashboard!BO$2&gt;0,"",Worksheet!H15)</f>
        <v>52.472999999999999</v>
      </c>
      <c r="D81" s="123">
        <f>IF(Dashboard!BO$2&gt;0,"",C81*(Worksheet!$H$77))</f>
        <v>26869.849110000003</v>
      </c>
      <c r="E81" s="605">
        <f>D81</f>
        <v>26869.849110000003</v>
      </c>
      <c r="F81" s="84" t="s">
        <v>1084</v>
      </c>
    </row>
    <row r="82" spans="1:6">
      <c r="A82" s="46" t="str">
        <f>A81&amp;" MA"</f>
        <v>Vol. from own sources: MA</v>
      </c>
      <c r="B82" s="46"/>
      <c r="C82" s="122">
        <f>IF(Dashboard!BO$2&gt;0,"",Worksheet!X15)</f>
        <v>0.367311</v>
      </c>
      <c r="D82" s="123">
        <f>IF(Dashboard!BO$2&gt;0,"",C82*(Worksheet!$H$77))</f>
        <v>188.08894377000001</v>
      </c>
      <c r="E82" s="605">
        <f t="shared" ref="E82:E100" si="0">D82</f>
        <v>188.08894377000001</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0.27400000000000002</v>
      </c>
      <c r="D85" s="123">
        <f>IF(Dashboard!BO$2&gt;0,"",C85*(Worksheet!$H$77))</f>
        <v>140.30718000000002</v>
      </c>
      <c r="E85" s="605">
        <f t="shared" si="0"/>
        <v>140.30718000000002</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52.568900302114805</v>
      </c>
      <c r="D87" s="123">
        <f>IF(Dashboard!BO$2&gt;0,"",C87*(Worksheet!$H$77))</f>
        <v>26918.95677770393</v>
      </c>
      <c r="E87" s="605">
        <f t="shared" si="0"/>
        <v>26918.95677770393</v>
      </c>
      <c r="F87"/>
    </row>
    <row r="88" spans="1:6">
      <c r="A88" s="158" t="s">
        <v>1269</v>
      </c>
      <c r="B88"/>
      <c r="C88" s="122">
        <f>IF(Dashboard!BO$2&gt;0,"",Worksheet!H23)</f>
        <v>35.448999999999998</v>
      </c>
      <c r="D88" s="123">
        <f>IF(Dashboard!BO$2&gt;0,"",C88*(Worksheet!$H$76*1000))</f>
        <v>566829.51</v>
      </c>
      <c r="E88" s="605">
        <f t="shared" si="0"/>
        <v>566829.51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7.9000000000000001E-2</v>
      </c>
      <c r="D90" s="951">
        <f>IF(Dashboard!BO$2&gt;0,"",IF(ISBLANK('Start Page'!AB22),"",IF(AND(ISBLANK(Worksheet!H77),Worksheet!Z77&lt;&gt;1),"",Worksheet!H25*(IF(Dashboard!BD29=FALSE,Worksheet!H77,IF(Dashboard!BD29=TRUE,Worksheet!H76*INDEX(Sheet1!B2:D4,MATCH('Start Page'!AB22,Sheet1!A2:A4,0),MATCH(Worksheet!J76,Sheet1!B1:D1,0)),""))))))</f>
        <v>40.453530000000008</v>
      </c>
      <c r="E90" s="952">
        <f t="shared" si="0"/>
        <v>40.453530000000008</v>
      </c>
      <c r="F90"/>
    </row>
    <row r="91" spans="1:6">
      <c r="A91" s="953" t="str">
        <f>"Unbilled Unmetered (UUAC) valued at "&amp;A76&amp;""</f>
        <v xml:space="preserve">Unbilled Unmetered (UUAC) valued at </v>
      </c>
      <c r="B91" s="949"/>
      <c r="C91" s="950">
        <f>IF(Dashboard!BO$2&gt;0,"",Worksheet!H26)</f>
        <v>3.0000000000000001E-3</v>
      </c>
      <c r="D91" s="951">
        <f>IF(Dashboard!BO$2&gt;0,"",IF(ISBLANK('Start Page'!AB22),"",IF(AND(ISBLANK(Worksheet!H77),Worksheet!Z77&lt;&gt;1),"",Worksheet!H26*(IF(Dashboard!BD29=FALSE,Worksheet!H77,IF(Dashboard!BD29=TRUE,Worksheet!H76*INDEX(Sheet1!B2:D4,MATCH('Start Page'!AB22,Sheet1!A2:A4,0),MATCH(Worksheet!J76,Sheet1!B1:D1,0)),""))))))</f>
        <v>1.5362100000000001</v>
      </c>
      <c r="E91" s="952">
        <f t="shared" si="0"/>
        <v>1.5362100000000001</v>
      </c>
      <c r="F91"/>
    </row>
    <row r="92" spans="1:6">
      <c r="A92" s="158" t="s">
        <v>2</v>
      </c>
      <c r="B92" s="125" t="s">
        <v>239</v>
      </c>
      <c r="C92" s="122">
        <f>IF(Dashboard!BO$2&gt;0,"",Worksheet!H30)</f>
        <v>35.530999999999999</v>
      </c>
      <c r="D92" s="123">
        <f>IF(Dashboard!BO$2&gt;0,"",C92*(Worksheet!$H$76*1000))</f>
        <v>568140.68999999994</v>
      </c>
      <c r="E92" s="605">
        <f t="shared" si="0"/>
        <v>568140.68999999994</v>
      </c>
      <c r="F92"/>
    </row>
    <row r="93" spans="1:6">
      <c r="A93" t="s">
        <v>51</v>
      </c>
      <c r="B93"/>
      <c r="C93" s="122">
        <f>IF(Dashboard!BO$2&gt;0,"",Worksheet!H35)</f>
        <v>17.037900302114807</v>
      </c>
      <c r="D93" s="123"/>
      <c r="E93" s="605">
        <f t="shared" si="0"/>
        <v>0</v>
      </c>
      <c r="F93"/>
    </row>
    <row r="94" spans="1:6">
      <c r="A94" s="223" t="s">
        <v>678</v>
      </c>
      <c r="B94" s="46"/>
      <c r="C94" s="126">
        <f>IF(Dashboard!BO$2&gt;0,"",Worksheet!H43)</f>
        <v>8.8622499999999993E-2</v>
      </c>
      <c r="D94" s="127">
        <f>IF(Dashboard!BO$2&gt;0,"",IF(ISBLANK('Start Page'!AB22),"",IF(AND(ISBLANK(Worksheet!H77),Worksheet!Z77&lt;&gt;1),"",C94*Worksheet!H76*INDEX(Sheet1!B2:D4,MATCH('Start Page'!AB22,Sheet1!A2:A4,0),MATCH(Worksheet!J76,Sheet1!B1:D1,0)))))</f>
        <v>1417.0737750000001</v>
      </c>
      <c r="E94" s="606">
        <f t="shared" si="0"/>
        <v>1417.0737750000001</v>
      </c>
      <c r="F94" s="128"/>
    </row>
    <row r="95" spans="1:6">
      <c r="A95" s="935" t="s">
        <v>679</v>
      </c>
      <c r="B95" s="934"/>
      <c r="C95" s="936">
        <f>Worksheet!X50</f>
        <v>0.72344897959183641</v>
      </c>
      <c r="D95" s="937">
        <f>IF(Dashboard!BO$2&gt;0,"",IF(ISBLANK('Start Page'!AB22),"",IF(AND(ISBLANK(Worksheet!H77),Worksheet!Z77&lt;&gt;1),"",C95*Worksheet!H76*INDEX(Sheet1!B2:D4,MATCH('Start Page'!AB22,Sheet1!A2:A4,0),MATCH(Worksheet!J76,Sheet1!B1:D1,0)))))</f>
        <v>11567.949183673465</v>
      </c>
      <c r="E95" s="938">
        <f t="shared" si="0"/>
        <v>11567.949183673465</v>
      </c>
      <c r="F95" s="128"/>
    </row>
    <row r="96" spans="1:6">
      <c r="A96" s="935" t="s">
        <v>1271</v>
      </c>
      <c r="B96" s="934"/>
      <c r="C96" s="936">
        <f>Worksheet!Y50</f>
        <v>1.6122448979591919E-3</v>
      </c>
      <c r="D96" s="937">
        <f>C96*input_VPC</f>
        <v>0.8255822448979635</v>
      </c>
      <c r="E96" s="938">
        <f t="shared" si="0"/>
        <v>0.8255822448979635</v>
      </c>
      <c r="F96" s="941" t="s">
        <v>1273</v>
      </c>
    </row>
    <row r="97" spans="1:7">
      <c r="A97" s="223" t="s">
        <v>680</v>
      </c>
      <c r="B97" s="46"/>
      <c r="C97" s="126">
        <f>IF(Dashboard!BO$2&gt;0,"",Worksheet!H39)</f>
        <v>7.9000000000000001E-2</v>
      </c>
      <c r="D97" s="127">
        <f>IF(Dashboard!BO$2&gt;0,"",IF(ISBLANK('Start Page'!AB22),"",IF(AND(ISBLANK(Worksheet!H77),Worksheet!Z77&lt;&gt;1),"",C97*Worksheet!H76*INDEX(Sheet1!B2:D4,MATCH('Start Page'!AB22,Sheet1!A2:A4,0),MATCH(Worksheet!J76,Sheet1!B1:D1,0)))))</f>
        <v>1263.21</v>
      </c>
      <c r="E97" s="606">
        <f t="shared" si="0"/>
        <v>1263.21</v>
      </c>
      <c r="F97" s="128"/>
    </row>
    <row r="98" spans="1:7">
      <c r="A98" s="945" t="s">
        <v>42</v>
      </c>
      <c r="B98" s="945"/>
      <c r="C98" s="946">
        <f>IF(Dashboard!BO$2&gt;0,"",Worksheet!H46)</f>
        <v>0.89268372448979938</v>
      </c>
      <c r="D98" s="947">
        <f>IF(Dashboard!BO$2&gt;0,"",SUM(D94:D97))</f>
        <v>14249.058540918362</v>
      </c>
      <c r="E98" s="605">
        <f t="shared" si="0"/>
        <v>14249.058540918362</v>
      </c>
      <c r="F98"/>
    </row>
    <row r="99" spans="1:7">
      <c r="A99" s="54" t="str">
        <f>"Real Losses valued at "&amp;A76&amp;""</f>
        <v xml:space="preserve">Real Losses valued at </v>
      </c>
      <c r="B99" s="46"/>
      <c r="C99" s="126">
        <f>IF(Dashboard!BO$2&gt;0,"",Worksheet!H51)</f>
        <v>16.145216577625007</v>
      </c>
      <c r="D99" s="939">
        <f>IF(Dashboard!BO$2&gt;0,"",Dashboard!N50)</f>
        <v>8267.4810529044389</v>
      </c>
      <c r="E99" s="606">
        <f t="shared" si="0"/>
        <v>8267.4810529044389</v>
      </c>
      <c r="F99" s="605"/>
    </row>
    <row r="100" spans="1:7">
      <c r="A100" t="s">
        <v>72</v>
      </c>
      <c r="B100"/>
      <c r="C100" s="122">
        <f>IF(Dashboard!BO$2&gt;0,"",Worksheet!H57)</f>
        <v>17.119900302114807</v>
      </c>
      <c r="D100" s="124">
        <f>IF(Dashboard!BO$2&gt;0,"",D98+D99+D90+D91)</f>
        <v>22558.5293338228</v>
      </c>
      <c r="E100" s="605">
        <f t="shared" si="0"/>
        <v>22558.5293338228</v>
      </c>
      <c r="F100"/>
      <c r="G100" s="129"/>
    </row>
    <row r="101" spans="1:7">
      <c r="A101" s="942"/>
    </row>
    <row r="102" spans="1:7">
      <c r="A102" s="942" t="s">
        <v>1272</v>
      </c>
      <c r="C102" s="943">
        <f>C95+C96</f>
        <v>0.7250612244897956</v>
      </c>
      <c r="D102" s="129">
        <f>D95+D96</f>
        <v>11568.774765918362</v>
      </c>
      <c r="E102" s="129">
        <f>E95+E96</f>
        <v>11568.774765918362</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- 780 Nittany</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0.27400000000000002</v>
      </c>
      <c r="E10" s="1151"/>
      <c r="F10" s="1152"/>
      <c r="G10" s="1153"/>
      <c r="H10" s="352">
        <f>D10</f>
        <v>0.27400000000000002</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35.448999999999998</v>
      </c>
      <c r="H12" s="362"/>
      <c r="I12" s="5"/>
      <c r="K12" s="898"/>
    </row>
    <row r="13" spans="2:16" ht="22.5" customHeight="1">
      <c r="B13" s="1133"/>
      <c r="C13" s="363"/>
      <c r="D13" s="360"/>
      <c r="E13" s="1142"/>
      <c r="F13" s="365">
        <f>Worksheet!H23+Worksheet!H24</f>
        <v>35.448999999999998</v>
      </c>
      <c r="G13" s="366" t="s">
        <v>1090</v>
      </c>
      <c r="H13" s="367">
        <f>SUM(G12+G14)</f>
        <v>35.448999999999998</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35.530999999999999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7.9000000000000001E-2</v>
      </c>
      <c r="H16" s="1141"/>
      <c r="I16" s="5"/>
      <c r="K16" s="46"/>
    </row>
    <row r="17" spans="2:16" ht="22.5" customHeight="1">
      <c r="B17" s="377">
        <f>Worksheet!AG15</f>
        <v>52.842900302114806</v>
      </c>
      <c r="C17" s="378"/>
      <c r="D17" s="379"/>
      <c r="E17" s="250"/>
      <c r="F17" s="380">
        <f>Worksheet!H25+Worksheet!H26</f>
        <v>8.2000000000000003E-2</v>
      </c>
      <c r="G17" s="364" t="s">
        <v>1092</v>
      </c>
      <c r="H17" s="362"/>
      <c r="I17" s="5"/>
      <c r="K17" s="46"/>
      <c r="L17" s="121"/>
      <c r="M17" s="121"/>
      <c r="N17" s="121"/>
      <c r="O17" s="121"/>
      <c r="P17" s="121"/>
    </row>
    <row r="18" spans="2:16" ht="15.75" customHeight="1">
      <c r="B18" s="375"/>
      <c r="C18" s="1154" t="s">
        <v>763</v>
      </c>
      <c r="D18" s="360"/>
      <c r="E18" s="381"/>
      <c r="F18" s="370"/>
      <c r="G18" s="382">
        <f>Worksheet!H26</f>
        <v>3.0000000000000001E-3</v>
      </c>
      <c r="H18" s="362"/>
      <c r="I18" s="5"/>
      <c r="K18" s="46"/>
    </row>
    <row r="19" spans="2:16" ht="22.5" customHeight="1">
      <c r="B19" s="375"/>
      <c r="C19" s="1154"/>
      <c r="D19" s="383" t="s">
        <v>116</v>
      </c>
      <c r="E19" s="356"/>
      <c r="F19" s="384"/>
      <c r="G19" s="600" t="s">
        <v>695</v>
      </c>
      <c r="H19" s="385">
        <f>Worksheet!H25+Worksheet!H26+Worksheet!H46+Worksheet!H51</f>
        <v>17.119900302114807</v>
      </c>
      <c r="I19" s="5"/>
      <c r="K19" s="46"/>
      <c r="L19" s="121"/>
      <c r="M19" s="121"/>
      <c r="N19" s="121"/>
      <c r="O19" s="121"/>
      <c r="P19" s="121"/>
    </row>
    <row r="20" spans="2:16" ht="15.75" customHeight="1">
      <c r="B20" s="375"/>
      <c r="C20" s="386">
        <f>B17+B27</f>
        <v>52.842900302114806</v>
      </c>
      <c r="D20" s="360"/>
      <c r="E20" s="250"/>
      <c r="F20" s="387" t="s">
        <v>52</v>
      </c>
      <c r="G20" s="376">
        <f>Worksheet!H39</f>
        <v>7.9000000000000001E-2</v>
      </c>
      <c r="H20" s="362"/>
      <c r="I20" s="5"/>
      <c r="K20" s="46"/>
    </row>
    <row r="21" spans="2:16" ht="14.25" customHeight="1">
      <c r="B21" s="388"/>
      <c r="C21" s="389"/>
      <c r="D21" s="386">
        <f>Worksheet!H19</f>
        <v>52.568900302114805</v>
      </c>
      <c r="E21" s="390"/>
      <c r="F21" s="380">
        <f>Worksheet!H46</f>
        <v>0.89268372448979938</v>
      </c>
      <c r="G21" s="364" t="s">
        <v>694</v>
      </c>
      <c r="H21" s="362"/>
      <c r="I21" s="5"/>
      <c r="K21" s="46"/>
      <c r="L21" s="121"/>
      <c r="M21" s="121"/>
      <c r="N21" s="121"/>
      <c r="O21" s="121"/>
      <c r="P21" s="121"/>
    </row>
    <row r="22" spans="2:16" ht="15.75" customHeight="1">
      <c r="B22" s="375"/>
      <c r="C22" s="359"/>
      <c r="D22" s="360"/>
      <c r="E22" s="250"/>
      <c r="F22" s="390"/>
      <c r="G22" s="391">
        <f>Worksheet!H41</f>
        <v>0.72506122448979937</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8.8622499999999993E-2</v>
      </c>
      <c r="H24" s="362"/>
      <c r="I24" s="5"/>
      <c r="K24" s="46"/>
    </row>
    <row r="25" spans="2:16" ht="26.25" customHeight="1">
      <c r="B25" s="1132" t="s">
        <v>1087</v>
      </c>
      <c r="C25" s="363"/>
      <c r="D25" s="360"/>
      <c r="E25" s="393">
        <f>Worksheet!H53</f>
        <v>17.037900302114807</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16.145216577625007</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- 780 Nittany</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IV (71-90)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34.577404195264812</v>
      </c>
      <c r="AF98" s="40">
        <f t="shared" ref="AF98:AF103" si="0">AE98</f>
        <v>34.577404195264812</v>
      </c>
      <c r="AG98" s="40">
        <f>IF(AE98&lt;&gt;0,AF98/10,0)</f>
        <v>3.4577404195264814</v>
      </c>
      <c r="AH98" s="40">
        <f>IFERROR(AD98*AG98,0)</f>
        <v>31.119663775738331</v>
      </c>
      <c r="AI98" s="40">
        <f t="shared" ref="AI98:AI117" si="1">IF(AG98=0,0,AF98-AH98)</f>
        <v>3.4577404195264805</v>
      </c>
      <c r="AJ98">
        <f t="array" aca="1" ref="AJ98" ca="1">SUM(1*(AI98&lt;$AI$98:$AI$117))+1+IF(ROW(AI98)-ROW($AI$98)=0,0,SUM(1*(AI98=OFFSET($AI$98,0,0,INDEX(ROW(AI98)-ROW($AI$98)+1,1)-1,1))))</f>
        <v>2</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0.2420418293668537</v>
      </c>
      <c r="AF99" s="40">
        <f t="shared" si="0"/>
        <v>0.2420418293668537</v>
      </c>
      <c r="AG99" s="40">
        <f t="shared" ref="AG99:AG117" si="3">IF(AE99&lt;&gt;0,AF99/10,0)</f>
        <v>2.4204182936685369E-2</v>
      </c>
      <c r="AH99" s="40">
        <f t="shared" ref="AH99:AH106" si="4">IFERROR(AD99*AG99,0)</f>
        <v>0.2420418293668537</v>
      </c>
      <c r="AI99" s="40">
        <f t="shared" si="1"/>
        <v>0</v>
      </c>
      <c r="AJ99">
        <f t="array" aca="1" ref="AJ99" ca="1">SUM(1*(AI99&lt;$AI$98:$AI$117))+1+IF(ROW(AI99)-ROW($AI$98)=0,0,SUM(1*(AI99=OFFSET($AI$98,0,0,INDEX(ROW(AI99)-ROW($AI$98)+1,1)-1,1))))</f>
        <v>8</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9</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10</v>
      </c>
      <c r="AK101" s="46" t="str">
        <f t="shared" si="5"/>
        <v>WI Error Adjustment (WIEA)</v>
      </c>
      <c r="AL101">
        <f t="shared" si="6"/>
        <v>0</v>
      </c>
      <c r="AM101">
        <f t="shared" si="7"/>
        <v>0</v>
      </c>
      <c r="AN101">
        <f t="shared" si="2"/>
        <v>0</v>
      </c>
    </row>
    <row r="102" spans="28:40">
      <c r="AC102" s="216" t="s">
        <v>703</v>
      </c>
      <c r="AD102" s="41">
        <f>IF(Worksheet!F17="n/a",0,Worksheet!F17)</f>
        <v>7</v>
      </c>
      <c r="AE102" s="64">
        <f>Worksheet!Y17</f>
        <v>0.18055397536833342</v>
      </c>
      <c r="AF102" s="40">
        <f t="shared" si="0"/>
        <v>0.18055397536833342</v>
      </c>
      <c r="AG102" s="40">
        <f t="shared" si="3"/>
        <v>1.8055397536833342E-2</v>
      </c>
      <c r="AH102" s="40">
        <f t="shared" si="4"/>
        <v>0.12638778275783341</v>
      </c>
      <c r="AI102" s="40">
        <f t="shared" si="1"/>
        <v>5.4166192610500014E-2</v>
      </c>
      <c r="AJ102">
        <f t="array" aca="1" ref="AJ102" ca="1">SUM(1*(AI102&lt;$AI$98:$AI$117))+1+IF(ROW(AI102)-ROW($AI$98)=0,0,SUM(1*(AI102=OFFSET($AI$98,0,0,INDEX(ROW(AI102)-ROW($AI$98)+1,1)-1,1))))</f>
        <v>7</v>
      </c>
      <c r="AK102" s="46" t="str">
        <f t="shared" si="5"/>
        <v>Water Exported (WE)</v>
      </c>
      <c r="AL102">
        <f t="shared" si="6"/>
        <v>1</v>
      </c>
      <c r="AM102">
        <f t="shared" si="7"/>
        <v>1</v>
      </c>
      <c r="AN102">
        <f t="shared" si="2"/>
        <v>0</v>
      </c>
    </row>
    <row r="103" spans="28:40">
      <c r="AC103" s="220" t="s">
        <v>704</v>
      </c>
      <c r="AD103" s="65">
        <f>IF(Worksheet!M17="n/a",0,Worksheet!M17)</f>
        <v>4</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1</v>
      </c>
      <c r="AN103" s="68">
        <f t="shared" si="2"/>
        <v>0</v>
      </c>
    </row>
    <row r="104" spans="28:40">
      <c r="AC104" s="217" t="s">
        <v>690</v>
      </c>
      <c r="AD104" s="73">
        <f>IF(Worksheet!F23="n/a",0,Worksheet!F23)</f>
        <v>9</v>
      </c>
      <c r="AE104" s="221">
        <f>IF(Worksheet!H23&gt;0,Worksheet!Y23,0)</f>
        <v>13.968869623958568</v>
      </c>
      <c r="AF104" s="75">
        <f t="shared" ref="AF104:AF117" si="8">AE104/$AE$120</f>
        <v>17.131632557685037</v>
      </c>
      <c r="AG104" s="75">
        <f t="shared" si="3"/>
        <v>1.7131632557685037</v>
      </c>
      <c r="AH104" s="75">
        <f t="shared" ref="AH104:AH117" si="9">AD104*AG104</f>
        <v>15.418469301916533</v>
      </c>
      <c r="AI104" s="75">
        <f t="shared" si="1"/>
        <v>1.7131632557685048</v>
      </c>
      <c r="AJ104" s="76">
        <f t="array" aca="1" ref="AJ104" ca="1">SUM(1*(AI104&lt;$AI$98:$AI$117))+1+IF(ROW(AI104)-ROW($AI$98)=0,0,SUM(1*(AI104=OFFSET($AI$98,0,0,INDEX(ROW(AI104)-ROW($AI$98)+1,1)-1,1))))</f>
        <v>4</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3.1130376041432112E-2</v>
      </c>
      <c r="AF106" s="79">
        <f t="shared" si="8"/>
        <v>3.8178763069680891E-2</v>
      </c>
      <c r="AG106" s="79">
        <f t="shared" si="3"/>
        <v>3.817876306968089E-3</v>
      </c>
      <c r="AH106" s="40">
        <f t="shared" si="4"/>
        <v>3.8178763069680891E-2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2</v>
      </c>
      <c r="AE109" s="74">
        <f>IF(AND(Worksheet!F41="n/a",Worksheet!H41=0),0,6)</f>
        <v>6</v>
      </c>
      <c r="AF109" s="75">
        <f t="shared" si="8"/>
        <v>7.3584905660377355</v>
      </c>
      <c r="AG109" s="75">
        <f t="shared" si="3"/>
        <v>0.73584905660377353</v>
      </c>
      <c r="AH109" s="75">
        <f t="shared" si="9"/>
        <v>1.4716981132075471</v>
      </c>
      <c r="AI109" s="75">
        <f t="shared" si="1"/>
        <v>5.8867924528301883</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15</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16</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17</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18</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6</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20</v>
      </c>
      <c r="AK116" s="88" t="str">
        <f t="shared" si="5"/>
        <v>Customer Retail Unit Charge (CRUC)</v>
      </c>
      <c r="AL116" s="72">
        <f t="shared" si="10"/>
        <v>1</v>
      </c>
      <c r="AM116" s="72">
        <f t="shared" si="7"/>
        <v>1</v>
      </c>
      <c r="AN116" s="72">
        <f t="shared" si="2"/>
        <v>0</v>
      </c>
    </row>
    <row r="117" spans="29:40">
      <c r="AC117" s="219" t="s">
        <v>701</v>
      </c>
      <c r="AD117" s="69">
        <f>IF(Worksheet!F77="n/a",0,Worksheet!F77)</f>
        <v>9</v>
      </c>
      <c r="AE117" s="70">
        <v>5</v>
      </c>
      <c r="AF117" s="71">
        <f t="shared" si="8"/>
        <v>6.132075471698113</v>
      </c>
      <c r="AG117" s="71">
        <f t="shared" si="3"/>
        <v>0.6132075471698113</v>
      </c>
      <c r="AH117" s="71">
        <f t="shared" si="9"/>
        <v>5.5188679245283012</v>
      </c>
      <c r="AI117" s="71">
        <f t="shared" si="1"/>
        <v>0.61320754716981174</v>
      </c>
      <c r="AJ117" s="72">
        <f t="array" aca="1" ref="AJ117" ca="1">SUM(1*(AI117&lt;$AI$98:$AI$117))+1+IF(ROW(AI117)-ROW($AI$98)=0,0,SUM(1*(AI117=OFFSET($AI$98,0,0,INDEX(ROW(AI117)-ROW($AI$98)+1,1)-1,1))))</f>
        <v>5</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84.779647113226588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8" zoomScale="115" zoomScaleNormal="115" zoomScaleSheetLayoutView="100" workbookViewId="0">
      <selection activeCell="C51" sqref="C51:L51"/>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0FABBB-0CB6-4878-A3FC-0B0B210E74DD}"/>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2026-03-05T11:56:23Z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