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james_baer_amwater_com/Documents/Desktop/2025 AWWA Audits/"/>
    </mc:Choice>
  </mc:AlternateContent>
  <xr:revisionPtr revIDLastSave="38" documentId="13_ncr:1_{9ABF7DA8-3AEB-48A6-9E33-FBC11C964A43}" xr6:coauthVersionLast="47" xr6:coauthVersionMax="47" xr10:uidLastSave="{686B5B2E-0C9D-42EF-A8D0-466D61703A8C}"/>
  <workbookProtection workbookPassword="FDB7" lockStructure="1"/>
  <bookViews>
    <workbookView xWindow="-108" yWindow="-108" windowWidth="23256" windowHeight="12456"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concurrentManualCount="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<sst xmlns="http://schemas.openxmlformats.org/spreadsheetml/2006/main" count="2545" uniqueCount="1283">
  <si>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</si>
  <si>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</si>
  <si>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</si>
  <si>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</si>
  <si>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</si>
  <si>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</si>
  <si>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</si>
  <si>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</si>
  <si>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</si>
  <si>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</si>
  <si>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</si>
  <si>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</si>
  <si>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</si>
  <si>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</si>
  <si>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</si>
  <si>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</si>
  <si>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</si>
  <si>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</si>
  <si>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</si>
  <si>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</si>
  <si>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</si>
  <si>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</si>
  <si>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</si>
  <si>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</si>
  <si>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</si>
  <si>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</si>
  <si>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</si>
  <si>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</si>
  <si>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</si>
  <si>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</si>
  <si>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</si>
  <si>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</si>
  <si>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</si>
  <si>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</si>
  <si>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</si>
  <si>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</si>
  <si>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</si>
  <si>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</si>
  <si>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</si>
  <si>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</si>
  <si>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</si>
  <si>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</si>
  <si>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</si>
  <si>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</si>
  <si>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</si>
  <si>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</si>
  <si>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</si>
  <si>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</si>
  <si>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</si>
  <si>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</si>
  <si>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</si>
  <si>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</si>
  <si>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</si>
  <si>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</si>
  <si>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</si>
  <si>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</si>
  <si>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</si>
  <si>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</si>
  <si>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</si>
  <si>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</si>
  <si>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</si>
  <si>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</si>
  <si>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</si>
  <si>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</si>
  <si>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</si>
  <si>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</si>
  <si>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</si>
  <si>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</si>
  <si>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</si>
  <si>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</si>
  <si>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</si>
  <si>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</si>
  <si>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</si>
  <si>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</si>
  <si>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</si>
  <si>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</si>
  <si>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</si>
  <si>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</si>
  <si>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</si>
  <si>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</si>
  <si>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</si>
  <si>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</si>
  <si>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</si>
  <si>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</si>
  <si>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</si>
  <si>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</si>
  <si>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</si>
  <si>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</si>
  <si>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</si>
  <si>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</si>
  <si>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</si>
  <si>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</si>
  <si>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</si>
  <si>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</si>
  <si>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</si>
  <si>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</si>
  <si>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</si>
  <si>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</si>
  <si>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</si>
  <si>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</si>
  <si>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</si>
  <si>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</si>
  <si>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</si>
  <si>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</si>
  <si>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</si>
  <si>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</si>
  <si>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</si>
  <si>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</si>
  <si>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</si>
  <si>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</si>
  <si>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</si>
  <si>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</si>
  <si>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</si>
  <si>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</si>
  <si>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</si>
  <si>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</si>
  <si>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</si>
  <si>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</si>
  <si>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</si>
  <si>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</si>
  <si>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</si>
  <si>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</si>
  <si>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</si>
  <si>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</si>
  <si>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</si>
  <si>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</si>
  <si>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</si>
  <si>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</si>
  <si>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</si>
  <si>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</si>
  <si>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</si>
  <si>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</si>
  <si>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</si>
  <si>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</si>
  <si>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</si>
  <si>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</si>
  <si>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</si>
  <si>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</si>
  <si>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</si>
  <si>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</si>
  <si>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</si>
  <si>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</si>
  <si>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</si>
  <si>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</si>
  <si>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</si>
  <si>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</si>
  <si>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</si>
  <si>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</si>
  <si>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</si>
  <si>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</si>
  <si>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</si>
  <si>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</si>
  <si>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</si>
  <si>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</si>
  <si>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</si>
  <si>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</si>
  <si>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</si>
  <si>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</si>
  <si>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</si>
  <si>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</si>
  <si>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</si>
  <si>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</si>
  <si>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</si>
  <si>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</si>
  <si>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</si>
  <si>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</si>
  <si>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</si>
  <si>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</si>
  <si>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</si>
  <si>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</si>
  <si>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</si>
  <si>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</si>
  <si>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</si>
  <si>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</si>
  <si>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</si>
  <si>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</si>
  <si>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</si>
  <si>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</si>
  <si>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</si>
  <si>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</si>
  <si>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</si>
  <si>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</si>
  <si>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</si>
  <si>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</si>
  <si>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</si>
  <si>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</si>
  <si>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</si>
  <si>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</si>
  <si>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</si>
  <si>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</si>
  <si>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</si>
  <si>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</si>
  <si>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</si>
  <si>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</si>
  <si>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</si>
  <si>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</si>
  <si>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</si>
  <si>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</si>
  <si>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</si>
  <si>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</si>
  <si>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</si>
  <si>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</si>
  <si>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</si>
  <si>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</si>
  <si>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</si>
  <si>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</si>
  <si>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</si>
  <si>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</si>
  <si>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</si>
  <si>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</si>
  <si>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</si>
  <si>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</si>
  <si>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</si>
  <si>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</si>
  <si>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</si>
  <si>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</si>
  <si>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</si>
  <si>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</si>
  <si>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</si>
  <si>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</si>
  <si>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</si>
  <si>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</si>
  <si>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</si>
  <si>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</si>
  <si>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</si>
  <si>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</si>
  <si>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</si>
  <si>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</si>
  <si>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</si>
  <si>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</si>
  <si>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</si>
  <si>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</si>
  <si>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</si>
  <si>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</si>
  <si>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</si>
  <si>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</si>
  <si>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</si>
  <si>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</si>
  <si>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</si>
  <si>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</si>
  <si>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</si>
  <si>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</si>
  <si>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</si>
  <si>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</si>
  <si>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</si>
  <si>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</si>
  <si>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</si>
  <si>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</si>
  <si>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</si>
  <si>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</si>
  <si>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</si>
  <si>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</si>
  <si>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</si>
  <si>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</si>
  <si>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</si>
  <si>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</si>
  <si>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</si>
  <si>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</si>
  <si>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</si>
  <si>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</si>
  <si>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</si>
  <si>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</si>
  <si>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</si>
  <si>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</si>
  <si>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</si>
  <si>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</si>
  <si>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</si>
  <si>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</si>
  <si>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</si>
  <si>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</si>
  <si>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</si>
  <si>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</si>
  <si>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</si>
  <si>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</si>
  <si>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</si>
  <si>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</si>
  <si>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</si>
  <si>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</si>
  <si>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</si>
  <si>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</si>
  <si>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</si>
  <si>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</si>
  <si>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</si>
  <si>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</si>
  <si>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</si>
  <si>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</si>
  <si>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</si>
  <si>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</si>
  <si>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</si>
  <si>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</si>
  <si>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</si>
  <si>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</si>
  <si>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</si>
  <si>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</si>
  <si>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</si>
  <si>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</si>
  <si>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</si>
  <si>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</si>
  <si>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</si>
  <si>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</si>
  <si>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</si>
  <si>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</si>
  <si>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</si>
  <si>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</si>
  <si>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</si>
  <si>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</si>
  <si>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</si>
  <si>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</si>
  <si>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</si>
  <si>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</si>
  <si>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</si>
  <si>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</si>
  <si>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</si>
  <si>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</si>
  <si>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</si>
  <si>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</si>
  <si>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</si>
  <si>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</si>
  <si>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</si>
  <si>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</si>
  <si>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</si>
  <si>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</si>
  <si>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</si>
  <si>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</si>
  <si>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</si>
  <si>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</si>
  <si>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</si>
  <si>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</si>
  <si>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</si>
  <si>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</si>
  <si>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</si>
  <si>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</si>
  <si>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</si>
  <si>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</si>
  <si>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</si>
  <si>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</si>
  <si>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</si>
  <si>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</si>
  <si>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</si>
  <si>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</si>
  <si>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</si>
  <si>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</si>
  <si>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</si>
  <si>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</si>
  <si>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</si>
  <si>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</si>
  <si>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</si>
  <si>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</si>
  <si>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</si>
  <si>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</si>
  <si>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</si>
  <si>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</si>
  <si>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</si>
  <si>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</si>
  <si>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</si>
  <si>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</si>
  <si>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</si>
  <si>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</si>
  <si>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</si>
  <si>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</si>
  <si>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</si>
  <si>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</si>
  <si>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</si>
  <si>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</si>
  <si>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</si>
  <si>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</si>
  <si>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</si>
  <si>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</si>
  <si>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</si>
  <si>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</si>
  <si>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</si>
  <si>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</si>
  <si>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</si>
  <si>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</si>
  <si>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</si>
  <si>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</si>
  <si>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</si>
  <si>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</si>
  <si>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</si>
  <si>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</si>
  <si>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</si>
  <si>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</si>
  <si>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</si>
  <si>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</si>
  <si>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</si>
  <si>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</si>
  <si>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</si>
  <si>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</si>
  <si>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</si>
  <si>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</si>
  <si>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</si>
  <si>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</si>
  <si>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</si>
  <si>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</si>
  <si>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</si>
  <si>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</si>
  <si>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</si>
  <si>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</si>
  <si>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</si>
  <si>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</si>
  <si>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</si>
  <si>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</si>
  <si>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</si>
  <si>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</si>
  <si>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</si>
  <si>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</si>
  <si>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</si>
  <si>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</si>
  <si>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</si>
  <si>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</si>
  <si>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</si>
  <si>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</si>
  <si>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</si>
  <si>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</si>
  <si>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</si>
  <si>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</si>
  <si>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</si>
  <si>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</si>
  <si>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</si>
  <si>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</si>
  <si>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</si>
  <si>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</si>
  <si>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</si>
  <si>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</si>
  <si>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</si>
  <si>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</si>
  <si>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</si>
  <si>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</si>
  <si>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</si>
  <si>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</si>
  <si>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</si>
  <si>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</si>
  <si>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</si>
  <si>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</si>
  <si>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</si>
  <si>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</si>
  <si>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</si>
  <si>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</si>
  <si>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</si>
  <si>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</si>
  <si>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</si>
  <si>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</si>
  <si>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</si>
  <si>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</si>
  <si>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</si>
  <si>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</si>
  <si>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</si>
  <si>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</si>
  <si>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</si>
  <si>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</si>
  <si>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</si>
  <si>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</si>
  <si>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</si>
  <si>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</si>
  <si>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</si>
  <si>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</si>
  <si>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</si>
  <si>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</si>
  <si>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</si>
  <si>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</si>
  <si>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</si>
  <si>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</si>
  <si>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</si>
  <si>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</si>
  <si>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</si>
  <si>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</si>
  <si>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</si>
  <si>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</si>
  <si>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</si>
  <si>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</si>
  <si>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</si>
  <si>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</si>
  <si>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</si>
  <si>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</si>
  <si>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</si>
  <si>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</si>
  <si>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</si>
  <si>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</si>
  <si>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</si>
  <si>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</si>
  <si>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</si>
  <si>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</si>
  <si>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</si>
  <si>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</si>
  <si>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</si>
  <si>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</si>
  <si>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</si>
  <si>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</si>
  <si>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</si>
  <si>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</si>
  <si>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</si>
  <si>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</si>
  <si>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</si>
  <si>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</si>
  <si>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</si>
  <si>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</si>
  <si>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</si>
  <si>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</si>
  <si>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</si>
  <si>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</si>
  <si>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</si>
  <si>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</si>
  <si>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</si>
  <si>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</si>
  <si>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</si>
  <si>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</si>
  <si>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</si>
  <si>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</si>
  <si>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</si>
  <si>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</si>
  <si>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</si>
  <si>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</si>
  <si>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</si>
  <si>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</si>
  <si>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</si>
  <si>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</si>
  <si>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</si>
  <si>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</si>
  <si>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</si>
  <si>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</si>
  <si>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</si>
  <si>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</si>
  <si>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</si>
  <si>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</si>
  <si>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</si>
  <si>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</si>
  <si>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</si>
  <si>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</si>
  <si>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</si>
  <si>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</si>
  <si>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</si>
  <si>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</si>
  <si>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</si>
  <si>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</si>
  <si>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</si>
  <si>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</si>
  <si>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</si>
  <si>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</si>
  <si>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</si>
  <si>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</si>
  <si>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</si>
  <si>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</si>
  <si>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</si>
  <si>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</si>
  <si>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</si>
  <si>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</si>
  <si>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</si>
  <si>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</si>
  <si>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</si>
  <si>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</si>
  <si>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</si>
  <si>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</si>
  <si>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</si>
  <si>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</si>
  <si>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</si>
  <si>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</si>
  <si>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</si>
  <si>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</si>
  <si>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</si>
  <si>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</si>
  <si>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</si>
  <si>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</si>
  <si>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</si>
  <si>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</si>
  <si>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</si>
  <si>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</si>
  <si>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</si>
  <si>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</si>
  <si>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</si>
  <si>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</si>
  <si>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</si>
  <si>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</si>
  <si>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</si>
  <si>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</si>
  <si>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</si>
  <si>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</si>
  <si>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</si>
  <si>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</si>
  <si>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</si>
  <si>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</si>
  <si>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</si>
  <si>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</si>
  <si>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</si>
  <si>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</si>
  <si>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</si>
  <si>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</si>
  <si>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</si>
  <si>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</si>
  <si>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</si>
  <si>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</si>
  <si>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</si>
  <si>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</si>
  <si>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</si>
  <si>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</si>
  <si>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</si>
  <si>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</si>
  <si>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</si>
  <si>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</si>
  <si>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</si>
  <si>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</si>
  <si>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</si>
  <si>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</si>
  <si>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</si>
  <si>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</si>
  <si>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</si>
  <si>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</si>
  <si>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</si>
  <si>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</si>
  <si>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</si>
  <si>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</si>
  <si>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</si>
  <si>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</si>
  <si>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</si>
  <si>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</si>
  <si>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</si>
  <si>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</si>
  <si>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</si>
  <si>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</si>
  <si>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</si>
  <si>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</si>
  <si>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</si>
  <si>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</si>
  <si>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</si>
  <si>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</si>
  <si>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</si>
  <si>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</si>
  <si>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</si>
  <si>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</si>
  <si>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</si>
  <si>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</si>
  <si>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</si>
  <si>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</si>
  <si>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</si>
  <si>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</si>
  <si>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</si>
  <si>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</si>
  <si>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</si>
  <si>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</si>
  <si>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</si>
  <si>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</si>
  <si>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</si>
  <si>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</si>
  <si>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</si>
  <si>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</si>
  <si>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</si>
  <si>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</si>
  <si>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</si>
  <si>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</si>
  <si>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</si>
  <si>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</si>
  <si>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</si>
  <si>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</si>
  <si>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</si>
  <si>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</si>
  <si>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</si>
  <si>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</si>
  <si>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</si>
  <si>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</si>
  <si>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</si>
  <si>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</si>
  <si>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</si>
  <si>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</si>
  <si>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</si>
  <si>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</si>
  <si>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</si>
  <si>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</si>
  <si>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</si>
  <si>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</si>
  <si>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</si>
  <si>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</si>
  <si>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</si>
  <si>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</si>
  <si>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</si>
  <si>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</si>
  <si>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</si>
  <si>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</si>
  <si>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</si>
  <si>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</si>
  <si>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</si>
  <si>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</si>
  <si>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</si>
  <si>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</si>
  <si>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</si>
  <si>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</si>
  <si>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</si>
  <si>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</si>
  <si>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</si>
  <si>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</si>
  <si>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</si>
  <si>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</si>
  <si>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</si>
  <si>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</si>
  <si>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</si>
  <si>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</si>
  <si>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</si>
  <si>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</si>
  <si>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</si>
  <si>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</si>
  <si>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</si>
  <si>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</si>
  <si>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</si>
  <si>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</si>
  <si>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</si>
  <si>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</si>
  <si>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</si>
  <si>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</si>
  <si>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</si>
  <si>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</si>
  <si>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</si>
  <si>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</si>
  <si>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</si>
  <si>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</si>
  <si>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</si>
  <si>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</si>
  <si>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</si>
  <si>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</si>
  <si>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</si>
  <si>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</si>
  <si>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</si>
  <si>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</si>
  <si>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</si>
  <si>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</si>
  <si>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</si>
  <si>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</si>
  <si>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</si>
  <si>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</si>
  <si>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</si>
  <si>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</si>
  <si>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</si>
  <si>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</si>
  <si>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</si>
  <si>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</si>
  <si>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</si>
  <si>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</si>
  <si>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</si>
  <si>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</si>
  <si>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</si>
  <si>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</si>
  <si>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</si>
  <si>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</si>
  <si>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</si>
  <si>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</si>
  <si>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</si>
  <si>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</si>
  <si>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</si>
  <si>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</si>
  <si>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</si>
  <si>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</si>
  <si>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</si>
  <si>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</si>
  <si>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</si>
  <si>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</si>
  <si>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</si>
  <si>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</si>
  <si>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</si>
  <si>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</si>
  <si>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</si>
  <si>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</si>
  <si>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</si>
  <si>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</si>
  <si>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</si>
  <si>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</si>
  <si>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</si>
  <si>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</si>
  <si>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</si>
  <si>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</si>
  <si>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</si>
  <si>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</si>
  <si>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</si>
  <si>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</si>
  <si>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</si>
  <si>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</si>
  <si>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</si>
  <si>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</si>
  <si>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</si>
  <si>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</si>
  <si>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</si>
  <si>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</si>
  <si>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</si>
  <si>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</si>
  <si>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</si>
  <si>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</si>
  <si>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</si>
  <si>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</si>
  <si>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</si>
  <si>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</si>
  <si>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</si>
  <si>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</si>
  <si>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</si>
  <si>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</si>
  <si>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</si>
  <si>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</si>
  <si>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</si>
  <si>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</si>
  <si>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</si>
  <si>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</si>
  <si>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</si>
  <si>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</si>
  <si>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</si>
  <si>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</si>
  <si>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</si>
  <si>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</si>
  <si>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</si>
  <si>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</si>
  <si>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</si>
  <si>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</si>
  <si>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</si>
  <si>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</si>
  <si>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</si>
  <si>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</si>
  <si>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</si>
  <si>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</si>
  <si>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</si>
  <si>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</si>
  <si>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</si>
  <si>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</si>
  <si>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</si>
  <si>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</si>
  <si>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</si>
  <si>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</si>
  <si>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</si>
  <si>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</si>
  <si>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</si>
  <si>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</si>
  <si>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</si>
  <si>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</si>
  <si>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</si>
  <si>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</si>
  <si>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</si>
  <si>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</si>
  <si>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</si>
  <si>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</si>
  <si>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</si>
  <si>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</si>
  <si>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</si>
  <si>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</si>
  <si>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</si>
  <si>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</si>
  <si>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</si>
  <si>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</si>
  <si>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</si>
  <si>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</si>
  <si>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</si>
  <si>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</si>
  <si>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</si>
  <si>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</si>
  <si>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</si>
  <si>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</si>
  <si>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</si>
  <si>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</si>
  <si>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</si>
  <si>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</si>
  <si>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</si>
  <si>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</si>
  <si>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</si>
  <si>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</si>
  <si>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</si>
  <si>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</si>
  <si>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</si>
  <si>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</si>
  <si>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</si>
  <si>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</si>
  <si>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</si>
  <si>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</si>
  <si>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</si>
  <si>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</si>
  <si>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</si>
  <si>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</si>
  <si>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</si>
  <si>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</si>
  <si>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</si>
  <si>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</si>
  <si>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</si>
  <si>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</si>
  <si>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</si>
  <si>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</si>
  <si>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</si>
  <si>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</si>
  <si>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</si>
  <si>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</si>
  <si>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</si>
  <si>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</si>
  <si>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</si>
  <si>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</si>
  <si>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</si>
  <si>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</si>
  <si>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</si>
  <si>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</si>
  <si>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</si>
  <si>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</si>
  <si>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</si>
  <si>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</si>
  <si>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</si>
  <si>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</si>
  <si>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</si>
  <si>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</si>
  <si>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</si>
  <si>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</si>
  <si>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</si>
  <si>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</si>
  <si>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</si>
  <si>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</si>
  <si>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</si>
  <si>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</si>
  <si>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</si>
  <si>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</si>
  <si>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</si>
  <si>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</si>
  <si>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</si>
  <si>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</si>
  <si>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</si>
  <si>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</si>
  <si>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</si>
  <si>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</si>
  <si>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</si>
  <si>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</si>
  <si>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</si>
  <si>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</si>
  <si>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</si>
  <si>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</si>
  <si>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</si>
  <si>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</si>
  <si>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</si>
  <si>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</si>
  <si>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</si>
  <si>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</si>
  <si>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</si>
  <si>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</si>
  <si>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</si>
  <si>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</si>
  <si>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</si>
  <si>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</si>
  <si>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</si>
  <si>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</si>
  <si>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</si>
  <si>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</si>
  <si>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</si>
  <si>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</si>
  <si>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</si>
  <si>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</si>
  <si>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</si>
  <si>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</si>
  <si>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</si>
  <si>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</si>
  <si>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</si>
  <si>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</si>
  <si>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</si>
  <si>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</si>
  <si>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</si>
  <si>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</si>
  <si>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</si>
  <si>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</si>
  <si>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</si>
  <si>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</si>
  <si>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</si>
  <si>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</si>
  <si>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</si>
  <si>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</si>
  <si>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</si>
  <si>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</si>
  <si>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</si>
  <si>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</si>
  <si>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</si>
  <si>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</si>
  <si>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</si>
  <si>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</si>
  <si>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</si>
  <si>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</si>
  <si>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</si>
  <si>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</si>
  <si>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</si>
  <si>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</si>
  <si>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</si>
  <si>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</si>
  <si>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</si>
  <si>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</si>
  <si>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</si>
  <si>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</si>
  <si>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</si>
  <si>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</si>
  <si>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</si>
  <si>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</si>
  <si>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</si>
  <si>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</si>
  <si>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</si>
  <si>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</si>
  <si>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</si>
  <si>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</si>
  <si>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</si>
  <si>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</si>
  <si>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</si>
  <si>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</si>
  <si>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</si>
  <si>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</si>
  <si>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</si>
  <si>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</si>
  <si>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</si>
  <si>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</si>
  <si>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</si>
  <si>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</si>
  <si>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</si>
  <si>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</si>
  <si>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</si>
  <si>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</si>
  <si>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</si>
  <si>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</si>
  <si>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</si>
  <si>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</si>
  <si>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</si>
  <si>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</si>
  <si>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</si>
  <si>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</si>
  <si>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</si>
  <si>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</si>
  <si>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</si>
  <si>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</si>
  <si>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</si>
  <si>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</si>
  <si>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</si>
  <si>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</si>
  <si>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</si>
  <si>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</si>
  <si>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</si>
  <si>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</si>
  <si>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</si>
  <si>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</si>
  <si>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</si>
  <si>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</si>
  <si>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</si>
  <si>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</si>
  <si>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</si>
  <si>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</si>
  <si>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</si>
  <si>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</si>
  <si>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</si>
  <si>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</si>
  <si>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</si>
  <si>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</si>
  <si>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</si>
  <si>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</si>
  <si>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</si>
  <si>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</si>
  <si>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</si>
  <si>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</si>
  <si>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</si>
  <si>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</si>
  <si>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</si>
  <si>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</si>
  <si>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</si>
  <si>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</si>
  <si>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</si>
  <si>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</si>
  <si>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</si>
  <si>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</si>
  <si>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</si>
  <si>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</si>
  <si>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</si>
  <si>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</si>
  <si>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</si>
  <si>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</si>
  <si>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</si>
  <si>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</si>
  <si>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</si>
  <si>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</si>
  <si>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</si>
  <si>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</si>
  <si>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</si>
  <si>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</si>
  <si>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</si>
  <si>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</si>
  <si>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</si>
  <si>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</si>
  <si>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</si>
  <si>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</si>
  <si>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</si>
  <si>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</si>
  <si>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</si>
  <si>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</si>
  <si>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</si>
  <si>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</si>
  <si>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</si>
  <si>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</si>
  <si>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</si>
  <si>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</si>
  <si>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</si>
  <si>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</si>
  <si>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</si>
  <si>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</si>
  <si>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</si>
  <si>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</si>
  <si>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</si>
  <si>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</si>
  <si>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</si>
  <si>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</si>
  <si>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</si>
  <si>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</si>
  <si>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</si>
  <si>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</si>
  <si>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</si>
  <si>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</si>
  <si>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</si>
  <si>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</si>
  <si>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</si>
  <si>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</si>
  <si>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</si>
  <si>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</si>
  <si>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</si>
  <si>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</si>
  <si>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</si>
  <si>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</si>
  <si>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</si>
  <si>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</si>
  <si>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</si>
  <si>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</si>
  <si>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</si>
  <si>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</si>
  <si>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</si>
  <si>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</si>
  <si>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</si>
  <si>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</si>
  <si>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</si>
  <si>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</si>
  <si>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</si>
  <si>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</si>
  <si>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</si>
  <si>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</si>
  <si>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</si>
  <si>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</si>
  <si>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</si>
  <si>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</si>
  <si>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</si>
  <si>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</si>
  <si>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</si>
  <si>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</si>
  <si>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</si>
  <si>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</si>
  <si>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</si>
  <si>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</si>
  <si>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</si>
  <si>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</si>
  <si>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</si>
  <si>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</si>
  <si>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</si>
  <si>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</si>
  <si>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</si>
  <si>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</si>
  <si>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</si>
  <si>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</si>
  <si>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</si>
  <si>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</si>
  <si>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</si>
  <si>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</si>
  <si>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</si>
  <si>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</si>
  <si>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</si>
  <si>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</si>
  <si>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</si>
  <si>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</si>
  <si>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</si>
  <si>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</si>
  <si>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</si>
  <si>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</si>
  <si>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</si>
  <si>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</si>
  <si>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</si>
  <si>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</si>
  <si>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</si>
  <si>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</si>
  <si>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</si>
  <si>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</si>
  <si>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</si>
  <si>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</si>
  <si>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</si>
  <si>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</si>
  <si>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</si>
  <si>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</si>
  <si>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</si>
  <si>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</si>
  <si>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</si>
  <si>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</si>
  <si>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</si>
  <si>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</si>
  <si>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</si>
  <si>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</si>
  <si>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</si>
  <si>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</si>
  <si>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</si>
  <si>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</si>
  <si>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</si>
  <si>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</si>
  <si>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</si>
  <si>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</si>
  <si>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</si>
  <si>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</si>
  <si>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</si>
  <si>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</si>
  <si>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</si>
  <si>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</si>
  <si>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</si>
  <si>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</si>
  <si>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</si>
  <si>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</si>
  <si>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</si>
  <si>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</si>
  <si>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</si>
  <si>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</si>
  <si>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</si>
  <si>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</si>
  <si>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</si>
  <si>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</si>
  <si>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</si>
  <si>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</si>
  <si>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</si>
  <si>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</si>
  <si>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</si>
  <si>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</si>
  <si>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</si>
  <si>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</si>
  <si>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</si>
  <si>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</si>
  <si>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</si>
  <si>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</si>
  <si>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</si>
  <si>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</si>
  <si>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</si>
  <si>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</si>
  <si>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</si>
  <si>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</si>
  <si>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</si>
  <si>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</si>
  <si>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</si>
  <si>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</si>
  <si>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</si>
  <si>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</si>
  <si>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</si>
  <si>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</si>
  <si>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</si>
  <si>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</si>
  <si>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</si>
  <si>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</si>
  <si>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</si>
  <si>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</si>
  <si>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</si>
  <si>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</si>
  <si>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</si>
  <si>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</si>
  <si>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</si>
  <si>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</si>
  <si>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</si>
  <si>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</si>
  <si>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</si>
  <si>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</si>
  <si>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</si>
  <si>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</si>
  <si>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</si>
  <si>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</si>
  <si>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</si>
  <si>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</si>
  <si>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</si>
  <si>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</si>
  <si>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</si>
  <si>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</si>
  <si>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</si>
  <si>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</si>
  <si>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</si>
  <si>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</si>
  <si>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</si>
  <si>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</si>
  <si>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</si>
  <si>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</si>
  <si>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</si>
  <si>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</si>
  <si>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</si>
  <si>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</si>
  <si>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</si>
  <si>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James Baer</t>
  </si>
  <si>
    <t>james.baer@amwater.com</t>
  </si>
  <si>
    <t>610-842-3118</t>
  </si>
  <si>
    <t>USA</t>
  </si>
  <si>
    <t>Calendar</t>
  </si>
  <si>
    <t>PAW - 840 McEwensville</t>
  </si>
  <si>
    <t>McEwensville Boro</t>
  </si>
  <si>
    <t>4490298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</si>
</sst>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168" fontId="103"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6"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54" fillId="0" borderId="0" xfId="0" applyFont="1" applyAlignment="1">
      <alignment horizontal="center"/>
    </xf>
    <xf numFmtId="0" fontId="158" fillId="0" borderId="0" xfId="0" applyFont="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7" fillId="0" borderId="67" xfId="0" applyFont="1" applyBorder="1" applyAlignment="1">
      <alignment horizontal="center" vertical="center"/>
    </xf>
    <xf numFmtId="0" fontId="11" fillId="0" borderId="68"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31.181306816774189</c:v>
                </c:pt>
                <c:pt idx="1">
                  <c:v>2.0024160337996988</c:v>
                </c:pt>
                <c:pt idx="2">
                  <c:v>217.11828137438846</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0</c:v>
                </c:pt>
                <c:pt idx="1">
                  <c:v>0.26113598867139654</c:v>
                </c:pt>
                <c:pt idx="2">
                  <c:v>32.38086259525317</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20.053764320998937</c:v>
                </c:pt>
                <c:pt idx="1">
                  <c:v>0.92482240795754933</c:v>
                </c:pt>
                <c:pt idx="2">
                  <c:v>94.62421426573718</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5.8446660901699552</c:v>
                </c:pt>
                <c:pt idx="1">
                  <c:v>0.38772920688421864</c:v>
                </c:pt>
                <c:pt idx="2">
                  <c:v>42.233755563473153</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14.20909823082898</c:v>
                </c:pt>
                <c:pt idx="1">
                  <c:v>0.56875750335916142</c:v>
                </c:pt>
                <c:pt idx="2">
                  <c:v>56.316832185707035</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92</c:v>
                </c:pt>
                <c:pt idx="1">
                  <c:v>1.2666666666666666</c:v>
                </c:pt>
                <c:pt idx="2" formatCode="General">
                  <c:v>106.73333333333333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6.0000000000000001E-3</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2.4E-2</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1.0900000000000002E-2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4.4101010101009717E-2</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5.0000000000000001E-3</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1.8065120159510928</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$3,328/Yr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7.7396400000000005</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30.958560000000002</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174.29100000000003</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704.28423878787271</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79.95</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2330.2921098559527</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-2.3341914735724885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2.2258379576004037</c:v>
                </c:pt>
                <c:pt idx="1">
                  <c:v>9.0856271993300333E-2</c:v>
                </c:pt>
                <c:pt idx="2">
                  <c:v>9.0403397695688383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30.178951151872582</c:v>
                </c:pt>
                <c:pt idx="1">
                  <c:v>1.8469276802355887</c:v>
                </c:pt>
                <c:pt idx="2">
                  <c:v>198.84008119734042</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1833.0918477433713</c:v>
                </c:pt>
                <c:pt idx="1">
                  <c:v>97.186039594358903</c:v>
                </c:pt>
                <c:pt idx="2" formatCode="_(* #,##0_);_(* \(#,##0\);_(* &quot;-&quot;??_);_(@_)">
                  <c:v>10217.977061957132</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0.png"/><Relationship Id="rId1" Type="http://schemas.openxmlformats.org/officeDocument/2006/relationships/image" Target="../media/image29.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EA"/><Relationship Id="rId18" Type="http://schemas.openxmlformats.org/officeDocument/2006/relationships/hyperlink" Target="#'Interactive Data Grading'!WI"/><Relationship Id="rId26" Type="http://schemas.openxmlformats.org/officeDocument/2006/relationships/hyperlink" Target="#'Interactive Data Grading'!VPC"/><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image" Target="../media/image6.emf"/><Relationship Id="rId12" Type="http://schemas.openxmlformats.org/officeDocument/2006/relationships/hyperlink" Target="#'Interactive Data Grading'!BUAC"/><Relationship Id="rId17" Type="http://schemas.openxmlformats.org/officeDocument/2006/relationships/hyperlink" Target="#'Interactive Data Grading'!VOSEA"/><Relationship Id="rId25" Type="http://schemas.openxmlformats.org/officeDocument/2006/relationships/image" Target="../media/image10.emf"/><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hyperlink" Target="#'Interactive Data Grading'!AOP"/><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image" Target="../media/image8.emf"/><Relationship Id="rId24" Type="http://schemas.openxmlformats.org/officeDocument/2006/relationships/hyperlink" Target="#'Interactive Data Grading'!CRUC"/><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hyperlink" Target="#'Interactive Data Grading'!Lp"/><Relationship Id="rId28" Type="http://schemas.openxmlformats.org/officeDocument/2006/relationships/image" Target="../media/image1.png"/><Relationship Id="rId10" Type="http://schemas.openxmlformats.org/officeDocument/2006/relationships/hyperlink" Target="#'Interactive Data Grading'!UMAC"/><Relationship Id="rId19" Type="http://schemas.openxmlformats.org/officeDocument/2006/relationships/image" Target="../media/image9.emf"/><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E"/><Relationship Id="rId22" Type="http://schemas.openxmlformats.org/officeDocument/2006/relationships/hyperlink" Target="#'Interactive Data Grading'!Nc"/><Relationship Id="rId27"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0.png"/><Relationship Id="rId3" Type="http://schemas.openxmlformats.org/officeDocument/2006/relationships/chart" Target="../charts/chart4.xml"/><Relationship Id="rId21" Type="http://schemas.openxmlformats.org/officeDocument/2006/relationships/image" Target="../media/image22.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9.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1.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8.emf"/><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667"/>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668"/>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669"/>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670"/>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671"/>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672"/>
                  </a:ext>
                </a:extLst>
              </xdr:cNvPicPr>
            </xdr:nvPicPr>
            <xdr:blipFill rotWithShape="1">
              <a:blip xmlns:r="http://schemas.openxmlformats.org/officeDocument/2006/relationships" r:embed="rId11"/>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2"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673"/>
                  </a:ext>
                </a:extLst>
              </xdr:cNvPicPr>
            </xdr:nvPicPr>
            <xdr:blipFill rotWithShape="1">
              <a:blip xmlns:r="http://schemas.openxmlformats.org/officeDocument/2006/relationships" r:embed="rId11"/>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674"/>
                  </a:ext>
                </a:extLst>
              </xdr:cNvPicPr>
            </xdr:nvPicPr>
            <xdr:blipFill rotWithShape="1">
              <a:blip xmlns:r="http://schemas.openxmlformats.org/officeDocument/2006/relationships" r:embed="rId11"/>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675"/>
                  </a:ext>
                </a:extLst>
              </xdr:cNvPicPr>
            </xdr:nvPicPr>
            <xdr:blipFill rotWithShape="1">
              <a:blip xmlns:r="http://schemas.openxmlformats.org/officeDocument/2006/relationships" r:embed="rId11"/>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676"/>
                  </a:ext>
                </a:extLst>
              </xdr:cNvPicPr>
            </xdr:nvPicPr>
            <xdr:blipFill rotWithShape="1">
              <a:blip xmlns:r="http://schemas.openxmlformats.org/officeDocument/2006/relationships" r:embed="rId9"/>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677"/>
                  </a:ext>
                </a:extLst>
              </xdr:cNvPicPr>
            </xdr:nvPicPr>
            <xdr:blipFill rotWithShape="1">
              <a:blip xmlns:r="http://schemas.openxmlformats.org/officeDocument/2006/relationships" r:embed="rId9"/>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678"/>
                  </a:ext>
                </a:extLst>
              </xdr:cNvPicPr>
            </xdr:nvPicPr>
            <xdr:blipFill rotWithShape="1">
              <a:blip xmlns:r="http://schemas.openxmlformats.org/officeDocument/2006/relationships" r:embed="rId11"/>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679"/>
                  </a:ext>
                </a:extLst>
              </xdr:cNvPicPr>
            </xdr:nvPicPr>
            <xdr:blipFill rotWithShape="1">
              <a:blip xmlns:r="http://schemas.openxmlformats.org/officeDocument/2006/relationships" r:embed="rId19"/>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680"/>
                  </a:ext>
                </a:extLst>
              </xdr:cNvPicPr>
            </xdr:nvPicPr>
            <xdr:blipFill rotWithShape="1">
              <a:blip xmlns:r="http://schemas.openxmlformats.org/officeDocument/2006/relationships" r:embed="rId9"/>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681"/>
                  </a:ext>
                </a:extLst>
              </xdr:cNvPicPr>
            </xdr:nvPicPr>
            <xdr:blipFill rotWithShape="1">
              <a:blip xmlns:r="http://schemas.openxmlformats.org/officeDocument/2006/relationships" r:embed="rId9"/>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2"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682"/>
                  </a:ext>
                </a:extLst>
              </xdr:cNvPicPr>
            </xdr:nvPicPr>
            <xdr:blipFill rotWithShape="1">
              <a:blip xmlns:r="http://schemas.openxmlformats.org/officeDocument/2006/relationships" r:embed="rId9"/>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3"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683"/>
                  </a:ext>
                </a:extLst>
              </xdr:cNvPicPr>
            </xdr:nvPicPr>
            <xdr:blipFill rotWithShape="1">
              <a:blip xmlns:r="http://schemas.openxmlformats.org/officeDocument/2006/relationships" r:embed="rId9"/>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4"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684"/>
                  </a:ext>
                </a:extLst>
              </xdr:cNvPicPr>
            </xdr:nvPicPr>
            <xdr:blipFill rotWithShape="1">
              <a:blip xmlns:r="http://schemas.openxmlformats.org/officeDocument/2006/relationships" r:embed="rId25"/>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6"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685"/>
                  </a:ext>
                </a:extLst>
              </xdr:cNvPicPr>
            </xdr:nvPicPr>
            <xdr:blipFill rotWithShape="1">
              <a:blip xmlns:r="http://schemas.openxmlformats.org/officeDocument/2006/relationships" r:embed="rId9"/>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7"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90"/>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00561"/>
          <a:ext cx="4859656" cy="37222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8</xdr:col>
          <xdr:colOff>66675</xdr:colOff>
          <xdr:row>13</xdr:row>
          <xdr:rowOff>38100</xdr:rowOff>
        </xdr:from>
        <xdr:to>
          <xdr:col>15</xdr:col>
          <xdr:colOff>57150</xdr:colOff>
          <xdr:row>17</xdr:row>
          <xdr:rowOff>19050</xdr:rowOff>
        </xdr:to>
        <xdr:pic>
          <xdr:nvPicPr>
            <xdr:cNvPr id="6656248" name="Picture 110">
              <a:extLst>
                <a:ext uri="{FF2B5EF4-FFF2-40B4-BE49-F238E27FC236}">
                  <a16:creationId xmlns:a16="http://schemas.microsoft.com/office/drawing/2014/main" id="{A862E1C4-20DF-6105-AD41-C760D0F5B92F}"/>
                </a:ext>
              </a:extLst>
            </xdr:cNvPr>
            <xdr:cNvPicPr>
              <a:picLocks noChangeAspect="1" noChangeArrowheads="1"/>
              <a:extLst>
                <a:ext uri="{84589F7E-364E-4C9E-8A38-B11213B215E9}">
                  <a14:cameraTool cellRange="GremlinShow" spid="_x0000_s6656291"/>
                </a:ext>
              </a:extLst>
            </xdr:cNvPicPr>
          </xdr:nvPicPr>
          <xdr:blipFill>
            <a:blip xmlns:r="http://schemas.openxmlformats.org/officeDocument/2006/relationships" r:embed="rId1"/>
            <a:srcRect l="2481" t="10892" r="2972" b="6870"/>
            <a:stretch>
              <a:fillRect/>
            </a:stretch>
          </xdr:blipFill>
          <xdr:spPr bwMode="auto">
            <a:xfrm>
              <a:off x="1733550" y="2343150"/>
              <a:ext cx="1590675" cy="742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9.6">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18.8">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63">
        <v>10</v>
      </c>
      <c r="N16" s="164"/>
      <c r="O16" s="164"/>
      <c r="P16" s="164"/>
      <c r="Q16" s="164"/>
      <c r="R16" s="164"/>
    </row>
    <row r="17" spans="2:18" ht="66">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6.4">
      <c r="B4" s="185" t="s">
        <v>274</v>
      </c>
      <c r="C4" s="770" t="s">
        <v>468</v>
      </c>
      <c r="D4" s="770" t="s">
        <v>469</v>
      </c>
      <c r="E4" s="200" t="s">
        <v>427</v>
      </c>
      <c r="F4" s="194"/>
    </row>
    <row r="5" spans="1:7" ht="52.8">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6.4">
      <c r="B9" s="195">
        <v>4</v>
      </c>
      <c r="C9" s="765" t="s">
        <v>837</v>
      </c>
      <c r="D9" s="765"/>
      <c r="E9" s="766"/>
      <c r="F9" s="195">
        <v>4</v>
      </c>
      <c r="G9" s="193"/>
    </row>
    <row r="10" spans="1:7" ht="39.6">
      <c r="B10" s="195">
        <v>5</v>
      </c>
      <c r="C10" s="768"/>
      <c r="D10" s="773"/>
      <c r="E10" s="766" t="s">
        <v>478</v>
      </c>
      <c r="F10" s="195">
        <v>5</v>
      </c>
    </row>
    <row r="11" spans="1:7" ht="26.4">
      <c r="B11" s="195">
        <v>6</v>
      </c>
      <c r="C11" s="184"/>
      <c r="D11" s="766" t="s">
        <v>832</v>
      </c>
      <c r="E11" s="766"/>
      <c r="F11" s="195">
        <v>6</v>
      </c>
      <c r="G11" s="193"/>
    </row>
    <row r="12" spans="1:7">
      <c r="B12" s="195">
        <v>7</v>
      </c>
      <c r="C12" s="768"/>
      <c r="D12" s="774"/>
      <c r="E12" s="766"/>
      <c r="F12" s="195">
        <v>7</v>
      </c>
    </row>
    <row r="13" spans="1:7" ht="39.6">
      <c r="B13" s="195">
        <v>8</v>
      </c>
      <c r="C13" s="765" t="s">
        <v>838</v>
      </c>
      <c r="D13" s="765"/>
      <c r="E13" s="766" t="s">
        <v>888</v>
      </c>
      <c r="F13" s="195">
        <v>8</v>
      </c>
      <c r="G13" s="193"/>
    </row>
    <row r="14" spans="1:7">
      <c r="B14" s="195">
        <v>9</v>
      </c>
      <c r="C14" s="765"/>
      <c r="D14" s="765"/>
      <c r="E14" s="766"/>
      <c r="F14" s="195">
        <v>9</v>
      </c>
    </row>
    <row r="15" spans="1:7" ht="26.4">
      <c r="B15" s="195">
        <v>10</v>
      </c>
      <c r="C15" s="765" t="s">
        <v>839</v>
      </c>
      <c r="D15" s="766" t="s">
        <v>833</v>
      </c>
      <c r="E15" s="766" t="s">
        <v>479</v>
      </c>
      <c r="F15" s="195">
        <v>10</v>
      </c>
      <c r="G15" s="193"/>
    </row>
    <row r="16" spans="1:7">
      <c r="B16" s="178"/>
      <c r="C16" s="182"/>
      <c r="D16" s="182"/>
      <c r="E16" s="194"/>
      <c r="F16" s="194"/>
    </row>
    <row r="17" spans="2:13" ht="39.6">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6.4">
      <c r="B4" s="185" t="s">
        <v>274</v>
      </c>
      <c r="C4" s="770" t="s">
        <v>490</v>
      </c>
      <c r="D4" s="770" t="s">
        <v>491</v>
      </c>
      <c r="E4" s="194"/>
    </row>
    <row r="5" spans="1:6" ht="26.4">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6">
      <c r="B11" s="195">
        <v>6</v>
      </c>
      <c r="C11" s="184" t="s">
        <v>742</v>
      </c>
      <c r="D11" s="766" t="s">
        <v>500</v>
      </c>
      <c r="E11" s="195">
        <v>6</v>
      </c>
      <c r="F11" s="193"/>
    </row>
    <row r="12" spans="1:6">
      <c r="B12" s="195">
        <v>7</v>
      </c>
      <c r="C12" s="768"/>
      <c r="D12" s="774"/>
      <c r="E12" s="195">
        <v>7</v>
      </c>
    </row>
    <row r="13" spans="1:6" ht="52.8">
      <c r="B13" s="195">
        <v>8</v>
      </c>
      <c r="C13" s="766" t="s">
        <v>841</v>
      </c>
      <c r="D13" s="766" t="s">
        <v>743</v>
      </c>
      <c r="E13" s="195">
        <v>8</v>
      </c>
      <c r="F13" s="193"/>
    </row>
    <row r="14" spans="1:6">
      <c r="B14" s="195">
        <v>9</v>
      </c>
      <c r="C14" s="765"/>
      <c r="D14" s="765"/>
      <c r="E14" s="195">
        <v>9</v>
      </c>
    </row>
    <row r="15" spans="1:6" ht="39.6">
      <c r="B15" s="195">
        <v>10</v>
      </c>
      <c r="C15" s="765" t="s">
        <v>744</v>
      </c>
      <c r="D15" s="766" t="s">
        <v>745</v>
      </c>
      <c r="E15" s="195">
        <v>10</v>
      </c>
      <c r="F15" s="193"/>
    </row>
    <row r="16" spans="1:6">
      <c r="B16" s="178"/>
      <c r="C16" s="182"/>
      <c r="D16" s="182"/>
      <c r="E16" s="194"/>
    </row>
    <row r="17" spans="2:12" ht="39.6">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27</v>
      </c>
      <c r="C2" s="760" t="s">
        <v>844</v>
      </c>
      <c r="D2" s="181"/>
      <c r="E2" s="181"/>
      <c r="F2" s="182" t="s">
        <v>845</v>
      </c>
      <c r="G2" s="182"/>
      <c r="H2" s="182"/>
      <c r="I2" s="182"/>
      <c r="K2" s="84" t="s">
        <v>751</v>
      </c>
      <c r="L2" s="182"/>
    </row>
    <row r="3" spans="2:12" ht="26.4">
      <c r="B3" s="183" t="s">
        <v>316</v>
      </c>
      <c r="C3" s="184" t="s">
        <v>501</v>
      </c>
      <c r="D3" s="184" t="s">
        <v>502</v>
      </c>
      <c r="E3" s="184" t="s">
        <v>846</v>
      </c>
      <c r="F3" s="622" t="s">
        <v>525</v>
      </c>
      <c r="G3" s="622" t="s">
        <v>847</v>
      </c>
      <c r="H3" s="184" t="s">
        <v>526</v>
      </c>
      <c r="I3" s="184" t="s">
        <v>504</v>
      </c>
      <c r="K3" s="235" t="s">
        <v>505</v>
      </c>
      <c r="L3" s="236" t="s">
        <v>506</v>
      </c>
    </row>
    <row r="4" spans="2:12" ht="26.4">
      <c r="B4" s="185" t="s">
        <v>274</v>
      </c>
      <c r="C4" s="761" t="s">
        <v>507</v>
      </c>
      <c r="D4" s="761" t="s">
        <v>508</v>
      </c>
      <c r="E4" s="761" t="s">
        <v>509</v>
      </c>
      <c r="F4" s="761" t="s">
        <v>510</v>
      </c>
      <c r="G4" t="s">
        <v>511</v>
      </c>
      <c r="H4" s="761" t="s">
        <v>512</v>
      </c>
      <c r="I4" t="s">
        <v>513</v>
      </c>
      <c r="K4" s="237" t="s">
        <v>746</v>
      </c>
      <c r="L4" s="238" t="s">
        <v>514</v>
      </c>
    </row>
    <row r="5" spans="2:12" ht="79.2">
      <c r="B5" s="762" t="s">
        <v>284</v>
      </c>
      <c r="C5" s="763" t="s">
        <v>1181</v>
      </c>
      <c r="D5" s="763" t="s">
        <v>1182</v>
      </c>
      <c r="E5" s="763" t="s">
        <v>848</v>
      </c>
      <c r="F5" s="764" t="s">
        <v>849</v>
      </c>
      <c r="G5" s="763" t="s">
        <v>850</v>
      </c>
      <c r="H5" s="764" t="s">
        <v>492</v>
      </c>
      <c r="I5" s="764" t="s">
        <v>515</v>
      </c>
      <c r="K5" s="775" t="s">
        <v>747</v>
      </c>
      <c r="L5" s="776" t="s">
        <v>516</v>
      </c>
    </row>
    <row r="6" spans="2:12" ht="26.4">
      <c r="B6" s="179">
        <v>1</v>
      </c>
      <c r="C6" s="765" t="s">
        <v>517</v>
      </c>
      <c r="D6" s="765"/>
      <c r="E6" s="765"/>
      <c r="F6" s="765"/>
      <c r="G6" s="765"/>
      <c r="H6" s="765"/>
      <c r="I6" s="765"/>
      <c r="J6">
        <f t="shared" ref="J6:J14" si="0">B6</f>
        <v>1</v>
      </c>
      <c r="K6" s="777" t="s">
        <v>416</v>
      </c>
      <c r="L6" s="778" t="s">
        <v>518</v>
      </c>
    </row>
    <row r="7" spans="2:12" ht="52.8">
      <c r="B7" s="179">
        <v>2</v>
      </c>
      <c r="C7" s="765"/>
      <c r="D7" s="765"/>
      <c r="E7" s="765"/>
      <c r="F7" s="765"/>
      <c r="G7" s="765"/>
      <c r="H7" s="765" t="s">
        <v>851</v>
      </c>
      <c r="I7" s="765"/>
      <c r="J7">
        <f t="shared" si="0"/>
        <v>2</v>
      </c>
      <c r="K7" s="777" t="s">
        <v>748</v>
      </c>
      <c r="L7" s="779" t="s">
        <v>971</v>
      </c>
    </row>
    <row r="8" spans="2:12" ht="52.8">
      <c r="B8" s="179">
        <v>3</v>
      </c>
      <c r="C8" s="765"/>
      <c r="D8" s="765" t="s">
        <v>852</v>
      </c>
      <c r="E8" s="765"/>
      <c r="F8" s="765" t="s">
        <v>853</v>
      </c>
      <c r="G8" s="765"/>
      <c r="H8" s="765"/>
      <c r="I8" s="765"/>
      <c r="J8">
        <f t="shared" si="0"/>
        <v>3</v>
      </c>
      <c r="K8" s="777" t="s">
        <v>749</v>
      </c>
      <c r="L8" s="778" t="s">
        <v>519</v>
      </c>
    </row>
    <row r="9" spans="2:12" ht="53.4"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2.8">
      <c r="B11" s="179">
        <v>6</v>
      </c>
      <c r="C11" s="765"/>
      <c r="D11" s="765" t="s">
        <v>856</v>
      </c>
      <c r="E11" s="765"/>
      <c r="F11" s="766" t="s">
        <v>856</v>
      </c>
      <c r="G11" s="767"/>
      <c r="H11" s="765" t="s">
        <v>857</v>
      </c>
      <c r="I11" s="765"/>
      <c r="J11">
        <f t="shared" si="0"/>
        <v>6</v>
      </c>
      <c r="K11" s="183"/>
      <c r="L11" s="183"/>
    </row>
    <row r="12" spans="2:12" ht="39.6">
      <c r="B12" s="179">
        <v>7</v>
      </c>
      <c r="C12" s="765"/>
      <c r="D12" s="765"/>
      <c r="E12" s="765" t="s">
        <v>532</v>
      </c>
      <c r="F12" s="765"/>
      <c r="G12" s="765" t="s">
        <v>858</v>
      </c>
      <c r="H12" s="765"/>
      <c r="I12" s="765"/>
      <c r="J12">
        <f t="shared" si="0"/>
        <v>7</v>
      </c>
      <c r="K12" s="183"/>
      <c r="L12" s="183"/>
    </row>
    <row r="13" spans="2:12" ht="52.8">
      <c r="B13" s="179">
        <v>8</v>
      </c>
      <c r="C13" s="765"/>
      <c r="D13" s="765" t="s">
        <v>859</v>
      </c>
      <c r="E13" s="765"/>
      <c r="F13" s="766" t="s">
        <v>860</v>
      </c>
      <c r="G13" s="768"/>
      <c r="H13" s="766" t="s">
        <v>963</v>
      </c>
      <c r="I13" s="766"/>
      <c r="J13">
        <f t="shared" si="0"/>
        <v>8</v>
      </c>
      <c r="K13" s="183"/>
      <c r="L13" s="183"/>
    </row>
    <row r="14" spans="2:12" ht="52.8">
      <c r="B14" s="179">
        <v>9</v>
      </c>
      <c r="C14" s="765"/>
      <c r="D14" s="766" t="s">
        <v>962</v>
      </c>
      <c r="E14" s="765"/>
      <c r="F14" s="765"/>
      <c r="G14" s="768"/>
      <c r="H14" s="766" t="s">
        <v>964</v>
      </c>
      <c r="I14" s="766" t="s">
        <v>267</v>
      </c>
      <c r="J14">
        <f t="shared" si="0"/>
        <v>9</v>
      </c>
      <c r="K14" s="183"/>
      <c r="L14" s="183"/>
    </row>
    <row r="15" spans="2:12" ht="26.4">
      <c r="B15" s="179">
        <v>9</v>
      </c>
      <c r="C15" s="765"/>
      <c r="D15" s="765" t="s">
        <v>861</v>
      </c>
      <c r="E15" s="765"/>
      <c r="F15" s="765"/>
      <c r="G15" s="768"/>
      <c r="H15" s="765"/>
      <c r="I15" s="768"/>
      <c r="J15">
        <v>9</v>
      </c>
      <c r="K15" s="183"/>
      <c r="L15" s="183"/>
    </row>
    <row r="16" spans="2:12" ht="52.8">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09375" defaultRowHeight="13.2"/>
  <cols>
    <col min="2" max="2" width="12.88671875" customWidth="1"/>
    <col min="3" max="6" width="45.88671875" customWidth="1"/>
    <col min="7" max="8" width="21.88671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6.4">
      <c r="B4" s="185" t="s">
        <v>274</v>
      </c>
      <c r="C4" s="770" t="s">
        <v>490</v>
      </c>
      <c r="D4" s="770" t="s">
        <v>537</v>
      </c>
      <c r="E4" s="770" t="s">
        <v>538</v>
      </c>
      <c r="F4" s="770" t="s">
        <v>539</v>
      </c>
      <c r="G4" s="194"/>
    </row>
    <row r="5" spans="1:8" ht="52.8">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6.4">
      <c r="B10" s="195">
        <v>5</v>
      </c>
      <c r="C10" s="768"/>
      <c r="D10" s="773"/>
      <c r="E10" s="773" t="s">
        <v>544</v>
      </c>
      <c r="F10" s="773"/>
      <c r="G10" s="195">
        <v>5</v>
      </c>
    </row>
    <row r="11" spans="1:8" ht="39.6">
      <c r="B11" s="195">
        <v>6</v>
      </c>
      <c r="C11" s="622" t="s">
        <v>978</v>
      </c>
      <c r="D11" s="766"/>
      <c r="E11" s="766"/>
      <c r="F11" s="766" t="s">
        <v>545</v>
      </c>
      <c r="G11" s="195">
        <v>6</v>
      </c>
      <c r="H11" s="193"/>
    </row>
    <row r="12" spans="1:8" ht="39.6">
      <c r="B12" s="195">
        <v>7</v>
      </c>
      <c r="C12" s="768"/>
      <c r="D12" s="773" t="s">
        <v>548</v>
      </c>
      <c r="E12" s="774"/>
      <c r="F12" s="774"/>
      <c r="G12" s="195">
        <v>7</v>
      </c>
    </row>
    <row r="13" spans="1:8" ht="39.6">
      <c r="B13" s="195">
        <v>8</v>
      </c>
      <c r="C13" s="766"/>
      <c r="D13" s="766"/>
      <c r="E13" s="766"/>
      <c r="F13" s="766" t="s">
        <v>657</v>
      </c>
      <c r="G13" s="195">
        <v>8</v>
      </c>
      <c r="H13" s="193"/>
    </row>
    <row r="14" spans="1:8">
      <c r="B14" s="195">
        <v>9</v>
      </c>
      <c r="C14" s="765"/>
      <c r="D14" s="765"/>
      <c r="E14" s="765"/>
      <c r="F14" s="765"/>
      <c r="G14" s="195">
        <v>9</v>
      </c>
    </row>
    <row r="15" spans="1:8" ht="39.6">
      <c r="B15" s="195">
        <v>10</v>
      </c>
      <c r="C15" s="765" t="s">
        <v>546</v>
      </c>
      <c r="D15" s="766" t="s">
        <v>549</v>
      </c>
      <c r="E15" s="766" t="s">
        <v>547</v>
      </c>
      <c r="F15" s="766" t="s">
        <v>658</v>
      </c>
      <c r="G15" s="195">
        <v>10</v>
      </c>
      <c r="H15" s="193"/>
    </row>
    <row r="16" spans="1:8">
      <c r="B16" s="178"/>
      <c r="C16" s="182"/>
      <c r="D16" s="182"/>
      <c r="E16" s="182"/>
      <c r="F16" s="182"/>
      <c r="G16" s="194"/>
    </row>
    <row r="17" spans="2:14" ht="26.4">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6.4">
      <c r="B4" s="200" t="s">
        <v>274</v>
      </c>
      <c r="C4" s="770" t="s">
        <v>490</v>
      </c>
      <c r="D4" s="770" t="s">
        <v>556</v>
      </c>
      <c r="E4" s="770" t="s">
        <v>554</v>
      </c>
      <c r="F4" s="770" t="s">
        <v>555</v>
      </c>
      <c r="G4" s="194"/>
    </row>
    <row r="5" spans="2:8" ht="39.6">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6.4">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6.4">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6.4">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6.4">
      <c r="B4" s="200" t="s">
        <v>274</v>
      </c>
      <c r="C4" s="770" t="s">
        <v>490</v>
      </c>
      <c r="D4" s="770" t="s">
        <v>575</v>
      </c>
      <c r="E4" s="770" t="s">
        <v>575</v>
      </c>
      <c r="F4" s="770" t="s">
        <v>554</v>
      </c>
      <c r="G4" s="770" t="s">
        <v>555</v>
      </c>
      <c r="H4" s="194"/>
    </row>
    <row r="5" spans="2:9" ht="66">
      <c r="B5" s="200" t="s">
        <v>284</v>
      </c>
      <c r="C5" s="585" t="s">
        <v>559</v>
      </c>
      <c r="D5" s="585" t="s">
        <v>576</v>
      </c>
      <c r="E5" s="585" t="s">
        <v>981</v>
      </c>
      <c r="F5" s="585" t="s">
        <v>870</v>
      </c>
      <c r="G5" s="585" t="s">
        <v>755</v>
      </c>
      <c r="H5" s="193"/>
      <c r="I5" s="193"/>
    </row>
    <row r="6" spans="2:9" ht="26.4">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9.6">
      <c r="B11" s="201">
        <v>6</v>
      </c>
      <c r="C11" s="622"/>
      <c r="D11" s="766"/>
      <c r="E11" s="766"/>
      <c r="F11" s="766" t="s">
        <v>757</v>
      </c>
      <c r="G11" s="766"/>
      <c r="H11" s="195">
        <v>6</v>
      </c>
      <c r="I11" s="193"/>
    </row>
    <row r="12" spans="2:9">
      <c r="B12" s="201">
        <v>7</v>
      </c>
      <c r="C12" s="766"/>
      <c r="D12" s="773"/>
      <c r="E12" s="773"/>
      <c r="F12" s="773"/>
      <c r="G12" s="773"/>
      <c r="H12" s="195">
        <v>7</v>
      </c>
    </row>
    <row r="13" spans="2:9" ht="52.8">
      <c r="B13" s="201">
        <v>8</v>
      </c>
      <c r="C13" s="766"/>
      <c r="D13" s="766" t="s">
        <v>578</v>
      </c>
      <c r="E13" s="766"/>
      <c r="F13" s="766"/>
      <c r="G13" s="766" t="s">
        <v>959</v>
      </c>
      <c r="H13" s="195">
        <v>8</v>
      </c>
      <c r="I13" s="193"/>
    </row>
    <row r="14" spans="2:9">
      <c r="B14" s="201">
        <v>9</v>
      </c>
      <c r="C14" s="766"/>
      <c r="D14" s="766"/>
      <c r="E14" s="766"/>
      <c r="F14" s="766"/>
      <c r="G14" s="766"/>
      <c r="H14" s="195">
        <v>9</v>
      </c>
    </row>
    <row r="15" spans="2:9" ht="39.6">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09375" defaultRowHeight="13.2"/>
  <cols>
    <col min="2" max="2" width="12.88671875" customWidth="1"/>
    <col min="3" max="6" width="45.88671875" customWidth="1"/>
    <col min="7" max="8" width="21.88671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6.4">
      <c r="B4" s="200" t="s">
        <v>274</v>
      </c>
      <c r="C4" s="770" t="s">
        <v>490</v>
      </c>
      <c r="D4" s="770" t="s">
        <v>587</v>
      </c>
      <c r="E4" s="770" t="s">
        <v>555</v>
      </c>
      <c r="F4" s="770" t="s">
        <v>588</v>
      </c>
      <c r="G4" s="194"/>
    </row>
    <row r="5" spans="1:8" ht="39.6">
      <c r="B5" s="200" t="s">
        <v>284</v>
      </c>
      <c r="C5" s="585" t="s">
        <v>559</v>
      </c>
      <c r="D5" s="585" t="s">
        <v>589</v>
      </c>
      <c r="E5" s="585" t="s">
        <v>590</v>
      </c>
      <c r="F5" s="585" t="s">
        <v>591</v>
      </c>
      <c r="G5" s="193"/>
      <c r="H5" s="193"/>
    </row>
    <row r="6" spans="1:8" ht="26.4">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9.6">
      <c r="B11" s="201">
        <v>6</v>
      </c>
      <c r="C11" s="622"/>
      <c r="D11" s="766" t="s">
        <v>965</v>
      </c>
      <c r="E11" s="766"/>
      <c r="F11" s="766" t="s">
        <v>592</v>
      </c>
      <c r="G11" s="195">
        <v>6</v>
      </c>
      <c r="H11" s="193"/>
    </row>
    <row r="12" spans="1:8" ht="26.4">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6.4">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6.4">
      <c r="B4" s="200" t="s">
        <v>274</v>
      </c>
      <c r="C4" s="770" t="s">
        <v>598</v>
      </c>
      <c r="D4" s="770" t="s">
        <v>599</v>
      </c>
      <c r="E4" s="770" t="s">
        <v>600</v>
      </c>
      <c r="F4" s="770" t="s">
        <v>601</v>
      </c>
      <c r="G4" s="202" t="s">
        <v>490</v>
      </c>
    </row>
    <row r="5" spans="2:8" ht="52.8">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9.6">
      <c r="B10" s="203">
        <v>5</v>
      </c>
      <c r="C10" s="766"/>
      <c r="D10" s="773"/>
      <c r="F10" s="773"/>
      <c r="G10" s="773" t="s">
        <v>906</v>
      </c>
      <c r="H10" s="203">
        <v>5</v>
      </c>
    </row>
    <row r="11" spans="2:8" ht="26.4">
      <c r="B11" s="203">
        <v>6</v>
      </c>
      <c r="C11" s="622" t="s">
        <v>986</v>
      </c>
      <c r="D11" s="766"/>
      <c r="E11" s="766" t="s">
        <v>604</v>
      </c>
      <c r="F11" s="766"/>
      <c r="G11" s="773"/>
      <c r="H11" s="203">
        <v>6</v>
      </c>
    </row>
    <row r="12" spans="2:8" ht="39.6">
      <c r="B12" s="203">
        <v>7</v>
      </c>
      <c r="C12" s="766"/>
      <c r="D12" s="773"/>
      <c r="F12" s="773" t="s">
        <v>607</v>
      </c>
      <c r="G12" s="773" t="s">
        <v>608</v>
      </c>
      <c r="H12" s="203">
        <v>7</v>
      </c>
    </row>
    <row r="13" spans="2:8" ht="39.6">
      <c r="B13" s="203">
        <v>8</v>
      </c>
      <c r="C13" s="766" t="s">
        <v>987</v>
      </c>
      <c r="D13" s="766" t="s">
        <v>605</v>
      </c>
      <c r="E13" s="773" t="s">
        <v>759</v>
      </c>
      <c r="F13" s="766"/>
      <c r="G13" s="773"/>
      <c r="H13" s="203">
        <v>8</v>
      </c>
    </row>
    <row r="14" spans="2:8" ht="52.8">
      <c r="B14" s="203">
        <v>9</v>
      </c>
      <c r="C14" s="766"/>
      <c r="D14" s="766"/>
      <c r="E14" s="773" t="s">
        <v>606</v>
      </c>
      <c r="F14" s="766" t="s">
        <v>609</v>
      </c>
      <c r="G14" s="773" t="s">
        <v>610</v>
      </c>
      <c r="H14" s="203">
        <v>9</v>
      </c>
    </row>
    <row r="15" spans="2:8" ht="39.6">
      <c r="B15" s="203">
        <v>9</v>
      </c>
      <c r="C15" s="766"/>
      <c r="D15" s="766"/>
      <c r="E15" s="766"/>
      <c r="F15" s="766"/>
      <c r="G15" s="782" t="s">
        <v>716</v>
      </c>
      <c r="H15" s="203">
        <v>9</v>
      </c>
    </row>
    <row r="16" spans="2:8" ht="39.6">
      <c r="B16" s="204">
        <v>10</v>
      </c>
      <c r="C16" s="782" t="s">
        <v>988</v>
      </c>
      <c r="D16" s="773" t="s">
        <v>611</v>
      </c>
      <c r="E16" s="773" t="s">
        <v>612</v>
      </c>
      <c r="F16" s="773" t="s">
        <v>891</v>
      </c>
      <c r="G16" s="773" t="s">
        <v>613</v>
      </c>
      <c r="H16" s="204">
        <v>10</v>
      </c>
    </row>
    <row r="17" spans="2:14" ht="26.4">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09375" defaultRowHeight="13.2"/>
  <cols>
    <col min="2" max="2" width="12.88671875" customWidth="1"/>
    <col min="3" max="6" width="32.44140625" style="158" customWidth="1"/>
    <col min="7" max="7" width="2.88671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6.4">
      <c r="B4" s="200" t="s">
        <v>274</v>
      </c>
      <c r="C4" s="770" t="s">
        <v>629</v>
      </c>
      <c r="D4" s="770" t="s">
        <v>490</v>
      </c>
      <c r="E4" s="770" t="s">
        <v>630</v>
      </c>
      <c r="F4" s="770" t="s">
        <v>513</v>
      </c>
    </row>
    <row r="5" spans="2:7" ht="52.8">
      <c r="B5" s="200" t="s">
        <v>284</v>
      </c>
      <c r="C5" s="585" t="s">
        <v>631</v>
      </c>
      <c r="D5" s="585" t="s">
        <v>623</v>
      </c>
      <c r="E5" s="585" t="s">
        <v>873</v>
      </c>
      <c r="F5" s="585" t="s">
        <v>515</v>
      </c>
      <c r="G5" s="193"/>
    </row>
    <row r="6" spans="2:7" ht="39.6">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9.6">
      <c r="B10" s="203">
        <v>5</v>
      </c>
      <c r="C10" s="766"/>
      <c r="D10" s="766" t="s">
        <v>633</v>
      </c>
      <c r="E10" s="773"/>
      <c r="F10" s="773"/>
      <c r="G10" s="203">
        <v>5</v>
      </c>
    </row>
    <row r="11" spans="2:7" ht="26.4">
      <c r="B11" s="203">
        <v>5</v>
      </c>
      <c r="C11" s="622"/>
      <c r="D11" s="782" t="s">
        <v>634</v>
      </c>
      <c r="E11" s="773"/>
      <c r="F11" s="766"/>
      <c r="G11" s="203">
        <v>5</v>
      </c>
    </row>
    <row r="12" spans="2:7">
      <c r="B12" s="203">
        <v>6</v>
      </c>
      <c r="C12" s="766"/>
      <c r="D12" s="773"/>
      <c r="E12" s="773"/>
      <c r="F12" s="773"/>
      <c r="G12" s="203">
        <v>6</v>
      </c>
    </row>
    <row r="13" spans="2:7" ht="39.6">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9.6">
      <c r="B16" s="204">
        <v>10</v>
      </c>
      <c r="C16" s="773" t="s">
        <v>636</v>
      </c>
      <c r="D16" s="773" t="s">
        <v>637</v>
      </c>
      <c r="E16" s="773" t="s">
        <v>267</v>
      </c>
      <c r="F16" s="773" t="s">
        <v>260</v>
      </c>
      <c r="G16" s="204">
        <v>10</v>
      </c>
    </row>
    <row r="17" spans="2:13" ht="39.6">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6.4">
      <c r="B4" s="494" t="s">
        <v>274</v>
      </c>
      <c r="C4" s="495" t="s">
        <v>490</v>
      </c>
      <c r="D4" s="495" t="s">
        <v>1105</v>
      </c>
      <c r="E4" s="495" t="s">
        <v>1106</v>
      </c>
      <c r="F4" s="495" t="s">
        <v>513</v>
      </c>
    </row>
    <row r="5" spans="2:7" ht="211.2">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6.4">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6.4">
      <c r="B14" s="504">
        <v>9</v>
      </c>
      <c r="C14" s="187"/>
      <c r="D14" s="187"/>
      <c r="E14" s="187" t="s">
        <v>1102</v>
      </c>
      <c r="F14" s="187" t="s">
        <v>267</v>
      </c>
      <c r="G14" s="203">
        <v>9</v>
      </c>
    </row>
    <row r="15" spans="2:7" ht="52.8">
      <c r="B15" s="504">
        <v>10</v>
      </c>
      <c r="C15" s="187" t="s">
        <v>876</v>
      </c>
      <c r="D15" s="187" t="s">
        <v>1104</v>
      </c>
      <c r="E15" s="187" t="s">
        <v>1101</v>
      </c>
      <c r="F15" s="187" t="s">
        <v>260</v>
      </c>
      <c r="G15" s="203">
        <v>10</v>
      </c>
    </row>
    <row r="16" spans="2:7" ht="39.6">
      <c r="B16" s="505">
        <v>10</v>
      </c>
      <c r="C16" s="206" t="s">
        <v>877</v>
      </c>
      <c r="D16" s="190"/>
      <c r="E16" s="190"/>
      <c r="F16" s="190"/>
      <c r="G16" s="204">
        <v>10</v>
      </c>
    </row>
    <row r="17" spans="2:13" ht="39.6">
      <c r="B17" s="505">
        <v>10</v>
      </c>
      <c r="C17" s="206" t="s">
        <v>650</v>
      </c>
      <c r="D17" s="190"/>
      <c r="E17" s="190"/>
      <c r="F17" s="190"/>
      <c r="G17" s="204">
        <v>10</v>
      </c>
    </row>
    <row r="18" spans="2:13" ht="39.6">
      <c r="B18" s="506">
        <f>'Interactive Data Grading'!D446</f>
        <v>10</v>
      </c>
      <c r="C18" s="507" t="s">
        <v>656</v>
      </c>
      <c r="D18" s="506" t="s">
        <v>651</v>
      </c>
      <c r="E18" s="191"/>
      <c r="F18" s="191"/>
      <c r="G18" s="84">
        <f>'Interactive Data Grading'!D446</f>
        <v>10</v>
      </c>
    </row>
    <row r="19" spans="2:13" ht="26.4">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6">
      <c r="B36" s="138" t="s">
        <v>1238</v>
      </c>
      <c r="G36" s="182"/>
    </row>
    <row r="37" spans="2:7" ht="409.6">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8">
      <c r="B58" s="178"/>
      <c r="D58" s="585" t="s">
        <v>1108</v>
      </c>
      <c r="E58" s="585" t="s">
        <v>1107</v>
      </c>
      <c r="G58" s="182"/>
    </row>
    <row r="59" spans="2:7" ht="26.4">
      <c r="B59" s="178"/>
      <c r="D59" s="806" t="s">
        <v>1103</v>
      </c>
      <c r="E59" s="807" t="s">
        <v>1100</v>
      </c>
      <c r="G59" s="182"/>
    </row>
    <row r="60" spans="2:7" ht="26.4">
      <c r="B60" s="178"/>
      <c r="D60" s="806" t="s">
        <v>1104</v>
      </c>
      <c r="E60" s="806" t="s">
        <v>1102</v>
      </c>
      <c r="G60" s="182"/>
    </row>
    <row r="61" spans="2:7" ht="34.200000000000003"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327</v>
      </c>
      <c r="F1" s="175" t="s">
        <v>315</v>
      </c>
    </row>
    <row r="2" spans="2:7">
      <c r="B2" s="174" t="s">
        <v>27</v>
      </c>
      <c r="C2" s="174" t="s">
        <v>273</v>
      </c>
    </row>
    <row r="3" spans="2:7">
      <c r="B3" s="174" t="s">
        <v>316</v>
      </c>
      <c r="C3" s="553" t="s">
        <v>337</v>
      </c>
      <c r="D3" s="553" t="s">
        <v>338</v>
      </c>
      <c r="E3" s="553" t="s">
        <v>339</v>
      </c>
      <c r="F3" s="553" t="s">
        <v>340</v>
      </c>
    </row>
    <row r="4" spans="2:7" ht="26.4">
      <c r="B4" s="174" t="s">
        <v>274</v>
      </c>
      <c r="C4" s="174" t="s">
        <v>328</v>
      </c>
      <c r="D4" s="174" t="s">
        <v>329</v>
      </c>
      <c r="E4" s="174" t="s">
        <v>330</v>
      </c>
      <c r="F4" s="174" t="s">
        <v>331</v>
      </c>
    </row>
    <row r="5" spans="2:7" ht="52.8">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6.4">
      <c r="B17" s="174">
        <v>10</v>
      </c>
      <c r="C17" s="175" t="s">
        <v>819</v>
      </c>
      <c r="D17" s="175" t="s">
        <v>819</v>
      </c>
      <c r="E17" s="175" t="s">
        <v>819</v>
      </c>
      <c r="F17" s="175" t="s">
        <v>336</v>
      </c>
      <c r="G17" s="177">
        <v>10</v>
      </c>
    </row>
    <row r="18" spans="2:7" ht="26.4">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Normal="100" workbookViewId="0">
      <pane ySplit="6" topLeftCell="A7" activePane="bottomLeft" state="frozen"/>
      <selection pane="bottomLeft" activeCell="AB24" sqref="AB24:AF24"/>
    </sheetView>
  </sheetViews>
  <sheetFormatPr defaultColWidth="0" defaultRowHeight="13.2"/>
  <cols>
    <col min="1" max="1" width="1.5546875" style="47" customWidth="1"/>
    <col min="2"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9" t="s">
        <v>1191</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1"/>
      <c r="AJ2" s="991"/>
      <c r="AK2" s="991"/>
      <c r="AL2" s="991"/>
      <c r="AM2" s="991"/>
      <c r="AN2" s="991"/>
      <c r="AO2" s="991"/>
      <c r="AP2" s="991"/>
      <c r="AQ2" s="991"/>
      <c r="AR2" s="991"/>
      <c r="AS2" s="991"/>
      <c r="AT2" s="991"/>
      <c r="AU2" s="991"/>
      <c r="AV2" s="991"/>
      <c r="AW2" s="991"/>
      <c r="AX2" s="991"/>
      <c r="AY2" s="991"/>
      <c r="AZ2" s="991"/>
      <c r="BA2" s="991"/>
      <c r="BB2" s="992"/>
      <c r="BC2" s="92"/>
    </row>
    <row r="3" spans="1:55" s="46" customFormat="1" ht="12.9" customHeight="1">
      <c r="A3" s="91"/>
      <c r="B3" s="1003" t="s">
        <v>1242</v>
      </c>
      <c r="C3" s="1004"/>
      <c r="D3" s="1004"/>
      <c r="E3" s="1004"/>
      <c r="F3" s="1004"/>
      <c r="G3" s="1004"/>
      <c r="H3" s="1004"/>
      <c r="I3" s="1004"/>
      <c r="J3" s="1004"/>
      <c r="K3" s="1004"/>
      <c r="L3" s="1004"/>
      <c r="M3" s="1004"/>
      <c r="N3" s="1004"/>
      <c r="O3" s="1004"/>
      <c r="P3" s="1004"/>
      <c r="Q3" s="1004"/>
      <c r="R3" s="1004"/>
      <c r="S3" s="1004"/>
      <c r="T3" s="1004"/>
      <c r="U3" s="1004"/>
      <c r="V3" s="1004"/>
      <c r="W3" s="1004"/>
      <c r="X3" s="1004"/>
      <c r="Y3" s="1004"/>
      <c r="Z3" s="1004"/>
      <c r="AA3" s="1004"/>
      <c r="AB3" s="1004"/>
      <c r="AC3" s="1004"/>
      <c r="AD3" s="1004"/>
      <c r="AE3" s="1004"/>
      <c r="AF3" s="1004"/>
      <c r="AG3" s="1004"/>
      <c r="AH3" s="1004"/>
      <c r="AI3" s="1004"/>
      <c r="AJ3" s="1004"/>
      <c r="AK3" s="1004"/>
      <c r="AL3" s="1004"/>
      <c r="AM3" s="1004"/>
      <c r="AN3" s="1004"/>
      <c r="AO3" s="1004"/>
      <c r="AP3" s="1004"/>
      <c r="AQ3" s="1004"/>
      <c r="AR3" s="1004"/>
      <c r="AS3" s="1004"/>
      <c r="AT3" s="1004"/>
      <c r="AU3" s="1004"/>
      <c r="AV3" s="1004"/>
      <c r="AW3" s="1004"/>
      <c r="AX3" s="1004"/>
      <c r="AY3" s="1004"/>
      <c r="AZ3" s="1004"/>
      <c r="BA3" s="1004"/>
      <c r="BB3" s="1005"/>
      <c r="BC3" s="91"/>
    </row>
    <row r="4" spans="1:55" s="46" customFormat="1" ht="12.9" customHeight="1">
      <c r="A4" s="91"/>
      <c r="B4" s="1003"/>
      <c r="C4" s="1004"/>
      <c r="D4" s="1004"/>
      <c r="E4" s="1004"/>
      <c r="F4" s="1004"/>
      <c r="G4" s="1004"/>
      <c r="H4" s="1004"/>
      <c r="I4" s="1004"/>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004"/>
      <c r="AT4" s="1004"/>
      <c r="AU4" s="1004"/>
      <c r="AV4" s="1004"/>
      <c r="AW4" s="1004"/>
      <c r="AX4" s="1004"/>
      <c r="AY4" s="1004"/>
      <c r="AZ4" s="1004"/>
      <c r="BA4" s="1004"/>
      <c r="BB4" s="1005"/>
      <c r="BC4" s="91"/>
    </row>
    <row r="5" spans="1:55" s="46" customFormat="1" ht="12.9" customHeight="1">
      <c r="A5" s="91"/>
      <c r="B5" s="1003"/>
      <c r="C5" s="1004"/>
      <c r="D5" s="1004"/>
      <c r="E5" s="1004"/>
      <c r="F5" s="1004"/>
      <c r="G5" s="1004"/>
      <c r="H5" s="1004"/>
      <c r="I5" s="1004"/>
      <c r="J5" s="1004"/>
      <c r="K5" s="1004"/>
      <c r="L5" s="1004"/>
      <c r="M5" s="1004"/>
      <c r="N5" s="1004"/>
      <c r="O5" s="1004"/>
      <c r="P5" s="1004"/>
      <c r="Q5" s="1004"/>
      <c r="R5" s="1004"/>
      <c r="S5" s="1004"/>
      <c r="T5" s="1004"/>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c r="AT5" s="1004"/>
      <c r="AU5" s="1004"/>
      <c r="AV5" s="1004"/>
      <c r="AW5" s="1004"/>
      <c r="AX5" s="1004"/>
      <c r="AY5" s="1004"/>
      <c r="AZ5" s="1004"/>
      <c r="BA5" s="1004"/>
      <c r="BB5" s="1005"/>
      <c r="BC5" s="91"/>
    </row>
    <row r="6" spans="1:55" s="46" customFormat="1" ht="12.9" customHeight="1">
      <c r="A6" s="91"/>
      <c r="B6" s="1003"/>
      <c r="C6" s="1004"/>
      <c r="D6" s="1004"/>
      <c r="E6" s="1004"/>
      <c r="F6" s="1004"/>
      <c r="G6" s="1004"/>
      <c r="H6" s="1004"/>
      <c r="I6" s="1004"/>
      <c r="J6" s="1004"/>
      <c r="K6" s="1004"/>
      <c r="L6" s="1004"/>
      <c r="M6" s="1004"/>
      <c r="N6" s="1004"/>
      <c r="O6" s="1004"/>
      <c r="P6" s="1004"/>
      <c r="Q6" s="1004"/>
      <c r="R6" s="1004"/>
      <c r="S6" s="1004"/>
      <c r="T6" s="1004"/>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c r="AT6" s="1004"/>
      <c r="AU6" s="1004"/>
      <c r="AV6" s="1004"/>
      <c r="AW6" s="1004"/>
      <c r="AX6" s="1004"/>
      <c r="AY6" s="1004"/>
      <c r="AZ6" s="1004"/>
      <c r="BA6" s="1004"/>
      <c r="BB6" s="1005"/>
      <c r="BC6" s="91"/>
    </row>
    <row r="7" spans="1:55" s="46" customFormat="1" ht="12.9" customHeight="1">
      <c r="A7" s="91"/>
      <c r="B7" s="626"/>
      <c r="C7" s="1000" t="s">
        <v>1213</v>
      </c>
      <c r="D7" s="1000"/>
      <c r="E7" s="1000"/>
      <c r="F7" s="1000"/>
      <c r="G7" s="1000"/>
      <c r="H7" s="1000"/>
      <c r="I7" s="1000"/>
      <c r="J7" s="1000"/>
      <c r="K7" s="1000"/>
      <c r="L7" s="1000"/>
      <c r="M7" s="1000"/>
      <c r="N7" s="1000"/>
      <c r="O7" s="1000"/>
      <c r="P7" s="1000"/>
      <c r="Q7" s="1000"/>
      <c r="R7" s="1000"/>
      <c r="S7" s="1000"/>
      <c r="T7" s="1000"/>
      <c r="U7" s="993" t="s">
        <v>1015</v>
      </c>
      <c r="V7" s="993"/>
      <c r="W7" s="993"/>
      <c r="X7" s="993"/>
      <c r="Y7" s="993"/>
      <c r="Z7" s="993"/>
      <c r="AA7" s="993"/>
      <c r="AB7" s="993"/>
      <c r="AC7" s="993"/>
      <c r="AD7" s="993"/>
      <c r="AE7" s="993"/>
      <c r="AF7" s="993"/>
      <c r="AG7" s="993"/>
      <c r="AH7" s="993"/>
      <c r="AI7" s="993"/>
      <c r="AJ7" s="993"/>
      <c r="AK7" s="993"/>
      <c r="AL7" s="993"/>
      <c r="AM7" s="993"/>
      <c r="AN7" s="158"/>
      <c r="AO7" s="993" t="s">
        <v>929</v>
      </c>
      <c r="AP7" s="993"/>
      <c r="AQ7" s="993"/>
      <c r="AR7" s="993"/>
      <c r="AS7" s="993"/>
      <c r="AT7" s="993"/>
      <c r="AU7" s="993"/>
      <c r="AV7" s="993"/>
      <c r="AW7" s="1001" t="s">
        <v>1014</v>
      </c>
      <c r="AX7" s="1001"/>
      <c r="AY7" s="1001"/>
      <c r="AZ7" s="1001"/>
      <c r="BA7" s="1001"/>
      <c r="BB7" s="1002"/>
      <c r="BC7" s="91"/>
    </row>
    <row r="8" spans="1:55" s="46" customFormat="1" ht="16.95" customHeight="1">
      <c r="A8" s="91"/>
      <c r="B8" s="626"/>
      <c r="C8" s="1000"/>
      <c r="D8" s="1000"/>
      <c r="E8" s="1000"/>
      <c r="F8" s="1000"/>
      <c r="G8" s="1000"/>
      <c r="H8" s="1000"/>
      <c r="I8" s="1000"/>
      <c r="J8" s="1000"/>
      <c r="K8" s="1000"/>
      <c r="L8" s="1000"/>
      <c r="M8" s="1000"/>
      <c r="N8" s="1000"/>
      <c r="O8" s="1000"/>
      <c r="P8" s="1000"/>
      <c r="Q8" s="1000"/>
      <c r="R8" s="1000"/>
      <c r="S8" s="1000"/>
      <c r="T8" s="1000"/>
      <c r="U8" s="993"/>
      <c r="V8" s="993"/>
      <c r="W8" s="993"/>
      <c r="X8" s="993"/>
      <c r="Y8" s="993"/>
      <c r="Z8" s="993"/>
      <c r="AA8" s="993"/>
      <c r="AB8" s="993"/>
      <c r="AC8" s="993"/>
      <c r="AD8" s="993"/>
      <c r="AE8" s="993"/>
      <c r="AF8" s="993"/>
      <c r="AG8" s="993"/>
      <c r="AH8" s="993"/>
      <c r="AI8" s="993"/>
      <c r="AJ8" s="993"/>
      <c r="AK8" s="993"/>
      <c r="AL8" s="993"/>
      <c r="AM8" s="993"/>
      <c r="AN8" s="158"/>
      <c r="AO8" s="993"/>
      <c r="AP8" s="993"/>
      <c r="AQ8" s="993"/>
      <c r="AR8" s="993"/>
      <c r="AS8" s="993"/>
      <c r="AT8" s="993"/>
      <c r="AU8" s="993"/>
      <c r="AV8" s="993"/>
      <c r="AW8" s="1001"/>
      <c r="AX8" s="1001"/>
      <c r="AY8" s="1001"/>
      <c r="AZ8" s="1001"/>
      <c r="BA8" s="1001"/>
      <c r="BB8" s="1002"/>
      <c r="BC8" s="91"/>
    </row>
    <row r="9" spans="1:55" s="46" customFormat="1" ht="12.9" customHeight="1">
      <c r="A9" s="91"/>
      <c r="B9" s="1006" t="s">
        <v>936</v>
      </c>
      <c r="C9" s="1007"/>
      <c r="D9" s="1007"/>
      <c r="E9" s="1007"/>
      <c r="F9" s="1007"/>
      <c r="G9" s="988" t="s">
        <v>937</v>
      </c>
      <c r="H9" s="988"/>
      <c r="I9" s="988"/>
      <c r="J9" s="988"/>
      <c r="K9" s="988"/>
      <c r="L9" s="988"/>
      <c r="M9" s="988"/>
      <c r="N9" s="988"/>
      <c r="O9" s="988"/>
      <c r="P9" s="988"/>
      <c r="Q9" s="988"/>
      <c r="R9" s="988"/>
      <c r="S9" s="988"/>
      <c r="T9" s="988"/>
      <c r="U9" s="587"/>
      <c r="V9" s="587"/>
      <c r="W9" s="587"/>
      <c r="X9" s="587"/>
      <c r="Y9" s="587"/>
      <c r="Z9" s="587"/>
      <c r="AA9" s="216" t="s">
        <v>771</v>
      </c>
      <c r="AB9" s="994" t="s">
        <v>1280</v>
      </c>
      <c r="AC9" s="995"/>
      <c r="AD9" s="995"/>
      <c r="AE9" s="995"/>
      <c r="AF9" s="995"/>
      <c r="AG9" s="995"/>
      <c r="AH9" s="995"/>
      <c r="AI9" s="995"/>
      <c r="AJ9" s="995"/>
      <c r="AK9" s="995"/>
      <c r="AL9" s="996"/>
      <c r="AM9" s="158"/>
      <c r="AN9" s="158"/>
      <c r="AO9"/>
      <c r="AP9" s="588" t="s">
        <v>907</v>
      </c>
      <c r="AQ9" s="265" t="s">
        <v>272</v>
      </c>
      <c r="AR9" s="553"/>
      <c r="AS9" s="158"/>
      <c r="AT9" s="158"/>
      <c r="AU9" s="158"/>
      <c r="AV9"/>
      <c r="AW9"/>
      <c r="AX9"/>
      <c r="AY9"/>
      <c r="AZ9"/>
      <c r="BA9"/>
      <c r="BB9" s="586"/>
      <c r="BC9" s="91"/>
    </row>
    <row r="10" spans="1:55" s="46" customFormat="1" ht="12.9" customHeight="1">
      <c r="A10" s="91"/>
      <c r="B10" s="1006"/>
      <c r="C10" s="1007"/>
      <c r="D10" s="1007"/>
      <c r="E10" s="1007"/>
      <c r="F10" s="1007"/>
      <c r="G10" s="988"/>
      <c r="H10" s="988"/>
      <c r="I10" s="988"/>
      <c r="J10" s="988"/>
      <c r="K10" s="988"/>
      <c r="L10" s="988"/>
      <c r="M10" s="988"/>
      <c r="N10" s="988"/>
      <c r="O10" s="988"/>
      <c r="P10" s="988"/>
      <c r="Q10" s="988"/>
      <c r="R10" s="988"/>
      <c r="S10" s="988"/>
      <c r="T10" s="988"/>
      <c r="U10" s="587"/>
      <c r="V10" s="587"/>
      <c r="W10" s="587"/>
      <c r="X10" s="587"/>
      <c r="Y10" s="587"/>
      <c r="Z10" s="587"/>
      <c r="AA10" s="216" t="s">
        <v>143</v>
      </c>
      <c r="AB10" s="994" t="s">
        <v>1275</v>
      </c>
      <c r="AC10" s="995"/>
      <c r="AD10" s="995"/>
      <c r="AE10" s="995"/>
      <c r="AF10" s="995"/>
      <c r="AG10" s="995"/>
      <c r="AH10" s="995"/>
      <c r="AI10" s="995"/>
      <c r="AJ10" s="995"/>
      <c r="AK10" s="995"/>
      <c r="AL10" s="996"/>
      <c r="AM10" s="158"/>
      <c r="AN10" s="158"/>
      <c r="AO10"/>
      <c r="AP10" s="588" t="s">
        <v>921</v>
      </c>
      <c r="AQ10" s="265" t="s">
        <v>931</v>
      </c>
      <c r="AR10" s="158"/>
      <c r="AS10" s="158"/>
      <c r="AT10" s="158"/>
      <c r="AU10" s="158"/>
      <c r="AV10"/>
      <c r="AW10"/>
      <c r="AX10"/>
      <c r="AY10"/>
      <c r="AZ10"/>
      <c r="BA10"/>
      <c r="BB10" s="586"/>
      <c r="BC10" s="91"/>
    </row>
    <row r="11" spans="1:55" s="46" customFormat="1" ht="12.9" customHeight="1">
      <c r="A11" s="91"/>
      <c r="B11" s="1006"/>
      <c r="C11" s="1007"/>
      <c r="D11" s="1007"/>
      <c r="E11" s="1007"/>
      <c r="F11" s="1007"/>
      <c r="G11" s="988"/>
      <c r="H11" s="988"/>
      <c r="I11" s="988"/>
      <c r="J11" s="988"/>
      <c r="K11" s="988"/>
      <c r="L11" s="988"/>
      <c r="M11" s="988"/>
      <c r="N11" s="988"/>
      <c r="O11" s="988"/>
      <c r="P11" s="988"/>
      <c r="Q11" s="988"/>
      <c r="R11" s="988"/>
      <c r="S11" s="988"/>
      <c r="T11" s="988"/>
      <c r="U11" s="587"/>
      <c r="V11" s="587"/>
      <c r="W11" s="587"/>
      <c r="X11" s="587"/>
      <c r="Y11" s="587"/>
      <c r="Z11" s="587"/>
      <c r="AA11" s="216" t="s">
        <v>998</v>
      </c>
      <c r="AB11" s="997" t="s">
        <v>1276</v>
      </c>
      <c r="AC11" s="998"/>
      <c r="AD11" s="998"/>
      <c r="AE11" s="998"/>
      <c r="AF11" s="998"/>
      <c r="AG11" s="998"/>
      <c r="AH11" s="998"/>
      <c r="AI11" s="998"/>
      <c r="AJ11" s="998"/>
      <c r="AK11" s="998"/>
      <c r="AL11" s="999"/>
      <c r="AM11" s="158"/>
      <c r="AN11" s="158"/>
      <c r="AO11"/>
      <c r="AP11" s="588" t="s">
        <v>908</v>
      </c>
      <c r="AQ11" s="265" t="s">
        <v>16</v>
      </c>
      <c r="AR11" s="158"/>
      <c r="AS11" s="158"/>
      <c r="AT11" s="158"/>
      <c r="AU11" s="158"/>
      <c r="AV11"/>
      <c r="AW11"/>
      <c r="AX11"/>
      <c r="AY11"/>
      <c r="AZ11"/>
      <c r="BA11"/>
      <c r="BB11" s="586"/>
      <c r="BC11" s="91"/>
    </row>
    <row r="12" spans="1:55" s="46" customFormat="1" ht="12.9" customHeight="1">
      <c r="A12" s="91"/>
      <c r="B12" s="1006" t="s">
        <v>667</v>
      </c>
      <c r="C12" s="1007"/>
      <c r="D12" s="1007"/>
      <c r="E12" s="1007"/>
      <c r="F12" s="1007"/>
      <c r="G12" s="988" t="s">
        <v>939</v>
      </c>
      <c r="H12" s="988"/>
      <c r="I12" s="988"/>
      <c r="J12" s="988"/>
      <c r="K12" s="988"/>
      <c r="L12" s="988"/>
      <c r="M12" s="988"/>
      <c r="N12" s="988"/>
      <c r="O12" s="988"/>
      <c r="P12" s="988"/>
      <c r="Q12" s="988"/>
      <c r="R12" s="988"/>
      <c r="S12" s="988"/>
      <c r="T12" s="988"/>
      <c r="U12" s="587"/>
      <c r="V12" s="587"/>
      <c r="W12" s="587"/>
      <c r="X12" s="587"/>
      <c r="Y12" s="587"/>
      <c r="Z12" s="587"/>
      <c r="AA12" s="216" t="s">
        <v>256</v>
      </c>
      <c r="AB12" s="1010" t="s">
        <v>1277</v>
      </c>
      <c r="AC12" s="1008"/>
      <c r="AD12" s="1008"/>
      <c r="AE12" s="1008"/>
      <c r="AF12" s="1008"/>
      <c r="AG12" s="1008"/>
      <c r="AH12" s="1011"/>
      <c r="AI12" s="1008"/>
      <c r="AJ12" s="1008"/>
      <c r="AK12" s="1008"/>
      <c r="AL12" s="1009"/>
      <c r="AM12" s="158"/>
      <c r="AN12" s="158"/>
      <c r="AO12"/>
      <c r="AP12" s="588" t="s">
        <v>922</v>
      </c>
      <c r="AQ12" s="265" t="s">
        <v>932</v>
      </c>
      <c r="AR12" s="158"/>
      <c r="AS12" s="158"/>
      <c r="AT12"/>
      <c r="AU12"/>
      <c r="AV12"/>
      <c r="AW12"/>
      <c r="AX12"/>
      <c r="AY12"/>
      <c r="AZ12"/>
      <c r="BA12"/>
      <c r="BB12" s="586"/>
      <c r="BC12" s="91"/>
    </row>
    <row r="13" spans="1:55" s="46" customFormat="1" ht="12.9" customHeight="1">
      <c r="A13" s="91"/>
      <c r="B13" s="1006"/>
      <c r="C13" s="1007"/>
      <c r="D13" s="1007"/>
      <c r="E13" s="1007"/>
      <c r="F13" s="1007"/>
      <c r="G13" s="988"/>
      <c r="H13" s="988"/>
      <c r="I13" s="988"/>
      <c r="J13" s="988"/>
      <c r="K13" s="988"/>
      <c r="L13" s="988"/>
      <c r="M13" s="988"/>
      <c r="N13" s="988"/>
      <c r="O13" s="988"/>
      <c r="P13" s="988"/>
      <c r="Q13" s="988"/>
      <c r="R13" s="988"/>
      <c r="S13" s="988"/>
      <c r="T13" s="988"/>
      <c r="U13" s="587"/>
      <c r="V13" s="587"/>
      <c r="W13" s="587"/>
      <c r="X13" s="587"/>
      <c r="Y13" s="587"/>
      <c r="Z13" s="587"/>
      <c r="AA13" s="216" t="s">
        <v>144</v>
      </c>
      <c r="AB13" s="994" t="s">
        <v>1281</v>
      </c>
      <c r="AC13" s="995"/>
      <c r="AD13" s="995"/>
      <c r="AE13" s="995"/>
      <c r="AF13" s="995"/>
      <c r="AG13" s="995"/>
      <c r="AH13" s="995"/>
      <c r="AI13" s="995"/>
      <c r="AJ13" s="995"/>
      <c r="AK13" s="995"/>
      <c r="AL13" s="996"/>
      <c r="AM13" s="158"/>
      <c r="AN13" s="158"/>
      <c r="AO13"/>
      <c r="AP13" s="588" t="s">
        <v>909</v>
      </c>
      <c r="AQ13" s="265" t="s">
        <v>17</v>
      </c>
      <c r="AR13" s="158"/>
      <c r="AS13" s="158"/>
      <c r="AT13"/>
      <c r="AU13"/>
      <c r="AV13"/>
      <c r="AW13"/>
      <c r="AX13"/>
      <c r="AY13"/>
      <c r="AZ13" s="158"/>
      <c r="BA13" s="158"/>
      <c r="BB13" s="584"/>
      <c r="BC13" s="91"/>
    </row>
    <row r="14" spans="1:55" s="46" customFormat="1" ht="12.9" customHeight="1">
      <c r="A14" s="91"/>
      <c r="B14" s="1006"/>
      <c r="C14" s="1007"/>
      <c r="D14" s="1007"/>
      <c r="E14" s="1007"/>
      <c r="F14" s="1007"/>
      <c r="G14" s="988"/>
      <c r="H14" s="988"/>
      <c r="I14" s="988"/>
      <c r="J14" s="988"/>
      <c r="K14" s="988"/>
      <c r="L14" s="988"/>
      <c r="M14" s="988"/>
      <c r="N14" s="988"/>
      <c r="O14" s="988"/>
      <c r="P14" s="988"/>
      <c r="Q14" s="988"/>
      <c r="R14" s="988"/>
      <c r="S14" s="988"/>
      <c r="T14" s="988"/>
      <c r="U14" s="587"/>
      <c r="V14" s="587"/>
      <c r="W14" s="587"/>
      <c r="X14" s="587"/>
      <c r="Y14" s="587"/>
      <c r="Z14" s="587"/>
      <c r="AA14" s="216" t="s">
        <v>141</v>
      </c>
      <c r="AB14" s="1022" t="s">
        <v>205</v>
      </c>
      <c r="AC14" s="1023"/>
      <c r="AD14" s="1023"/>
      <c r="AE14" s="1023"/>
      <c r="AF14" s="1023"/>
      <c r="AG14" s="1023"/>
      <c r="AH14" s="1023"/>
      <c r="AI14" s="1023"/>
      <c r="AJ14" s="1023"/>
      <c r="AK14" s="1023"/>
      <c r="AL14" s="1024"/>
      <c r="AM14" s="158"/>
      <c r="AN14" s="158"/>
      <c r="AO14"/>
      <c r="AP14" s="588" t="s">
        <v>923</v>
      </c>
      <c r="AQ14" s="265" t="s">
        <v>933</v>
      </c>
      <c r="AR14" s="158"/>
      <c r="AS14" s="158"/>
      <c r="AT14"/>
      <c r="AU14"/>
      <c r="AV14"/>
      <c r="AW14"/>
      <c r="AX14"/>
      <c r="AY14"/>
      <c r="AZ14" s="158"/>
      <c r="BA14" s="158"/>
      <c r="BB14" s="584"/>
      <c r="BC14" s="91"/>
    </row>
    <row r="15" spans="1:55" s="46" customFormat="1" ht="12.9" customHeight="1">
      <c r="A15" s="91"/>
      <c r="B15" s="986" t="s">
        <v>673</v>
      </c>
      <c r="C15" s="987"/>
      <c r="D15" s="987"/>
      <c r="E15" s="987"/>
      <c r="F15" s="987"/>
      <c r="G15" s="988" t="s">
        <v>940</v>
      </c>
      <c r="H15" s="988"/>
      <c r="I15" s="988"/>
      <c r="J15" s="988"/>
      <c r="K15" s="988"/>
      <c r="L15" s="988"/>
      <c r="M15" s="988"/>
      <c r="N15" s="988"/>
      <c r="O15" s="988"/>
      <c r="P15" s="988"/>
      <c r="Q15" s="988"/>
      <c r="R15" s="988"/>
      <c r="S15" s="988"/>
      <c r="T15" s="988"/>
      <c r="U15" s="587"/>
      <c r="V15" s="587"/>
      <c r="W15" s="587"/>
      <c r="X15" s="587"/>
      <c r="Y15" s="587"/>
      <c r="Z15" s="587"/>
      <c r="AA15" s="599" t="s">
        <v>953</v>
      </c>
      <c r="AB15" s="1012"/>
      <c r="AC15" s="1012"/>
      <c r="AD15" s="1012"/>
      <c r="AE15" s="1012"/>
      <c r="AF15" s="1012"/>
      <c r="AG15" s="1012"/>
      <c r="AH15" s="1012"/>
      <c r="AI15" s="1012"/>
      <c r="AJ15" s="1012"/>
      <c r="AK15" s="1012"/>
      <c r="AL15" s="1012"/>
      <c r="AM15" s="158"/>
      <c r="AN15" s="158"/>
      <c r="AO15"/>
      <c r="AP15" s="588" t="s">
        <v>910</v>
      </c>
      <c r="AQ15" s="265" t="s">
        <v>520</v>
      </c>
      <c r="AR15" s="158"/>
      <c r="AS15" s="158"/>
      <c r="AT15"/>
      <c r="AU15"/>
      <c r="AV15"/>
      <c r="AW15"/>
      <c r="AX15"/>
      <c r="AY15"/>
      <c r="AZ15" s="158"/>
      <c r="BA15" s="158"/>
      <c r="BB15" s="584"/>
      <c r="BC15" s="91"/>
    </row>
    <row r="16" spans="1:55" s="46" customFormat="1" ht="12.9" customHeight="1">
      <c r="A16" s="91"/>
      <c r="B16" s="986"/>
      <c r="C16" s="987"/>
      <c r="D16" s="987"/>
      <c r="E16" s="987"/>
      <c r="F16" s="987"/>
      <c r="G16" s="988"/>
      <c r="H16" s="988"/>
      <c r="I16" s="988"/>
      <c r="J16" s="988"/>
      <c r="K16" s="988"/>
      <c r="L16" s="988"/>
      <c r="M16" s="988"/>
      <c r="N16" s="988"/>
      <c r="O16" s="988"/>
      <c r="P16" s="988"/>
      <c r="Q16" s="988"/>
      <c r="R16" s="988"/>
      <c r="S16" s="988"/>
      <c r="T16" s="988"/>
      <c r="U16" s="587"/>
      <c r="V16" s="587"/>
      <c r="W16" s="587"/>
      <c r="X16" s="587"/>
      <c r="Y16" s="587"/>
      <c r="Z16" s="587"/>
      <c r="AA16" s="216" t="s">
        <v>142</v>
      </c>
      <c r="AB16" s="1013" t="s">
        <v>1278</v>
      </c>
      <c r="AC16" s="1014"/>
      <c r="AD16" s="1014"/>
      <c r="AE16" s="1014"/>
      <c r="AF16" s="1014"/>
      <c r="AG16" s="1014"/>
      <c r="AH16" s="1014"/>
      <c r="AI16" s="1014"/>
      <c r="AJ16" s="1014"/>
      <c r="AK16" s="1014"/>
      <c r="AL16" s="1015"/>
      <c r="AM16" s="158"/>
      <c r="AN16" s="158"/>
      <c r="AO16"/>
      <c r="AP16" s="589" t="s">
        <v>911</v>
      </c>
      <c r="AQ16" s="265" t="s">
        <v>425</v>
      </c>
      <c r="AR16" s="158"/>
      <c r="AS16" s="158"/>
      <c r="AT16"/>
      <c r="AU16"/>
      <c r="AV16"/>
      <c r="AW16"/>
      <c r="AX16"/>
      <c r="AY16" s="158"/>
      <c r="AZ16" s="158"/>
      <c r="BA16" s="158"/>
      <c r="BB16" s="584"/>
      <c r="BC16" s="91"/>
    </row>
    <row r="17" spans="1:55" s="46" customFormat="1" ht="12.9" customHeight="1">
      <c r="A17" s="91"/>
      <c r="B17" s="986"/>
      <c r="C17" s="987"/>
      <c r="D17" s="987"/>
      <c r="E17" s="987"/>
      <c r="F17" s="987"/>
      <c r="G17" s="988"/>
      <c r="H17" s="988"/>
      <c r="I17" s="988"/>
      <c r="J17" s="988"/>
      <c r="K17" s="988"/>
      <c r="L17" s="988"/>
      <c r="M17" s="988"/>
      <c r="N17" s="988"/>
      <c r="O17" s="988"/>
      <c r="P17" s="988"/>
      <c r="Q17" s="988"/>
      <c r="R17" s="988"/>
      <c r="S17" s="988"/>
      <c r="T17" s="988"/>
      <c r="U17" s="587"/>
      <c r="V17" s="587"/>
      <c r="W17" s="587"/>
      <c r="X17" s="587"/>
      <c r="Y17" s="587"/>
      <c r="Z17" s="587"/>
      <c r="AA17" s="216" t="s">
        <v>234</v>
      </c>
      <c r="AB17" s="1019">
        <v>46086</v>
      </c>
      <c r="AC17" s="1020"/>
      <c r="AD17" s="1020"/>
      <c r="AE17" s="1020"/>
      <c r="AF17" s="1020"/>
      <c r="AG17" s="1020"/>
      <c r="AH17" s="1020"/>
      <c r="AI17" s="1020"/>
      <c r="AJ17" s="1020"/>
      <c r="AK17" s="1020"/>
      <c r="AL17" s="1021"/>
      <c r="AM17" s="158"/>
      <c r="AN17" s="158"/>
      <c r="AO17"/>
      <c r="AP17" s="589" t="s">
        <v>919</v>
      </c>
      <c r="AQ17" s="265" t="s">
        <v>446</v>
      </c>
      <c r="AR17" s="158"/>
      <c r="AS17" s="158"/>
      <c r="AT17"/>
      <c r="AU17"/>
      <c r="AV17"/>
      <c r="AW17"/>
      <c r="AX17"/>
      <c r="AY17" s="158"/>
      <c r="AZ17" s="158"/>
      <c r="BA17" s="158"/>
      <c r="BB17" s="584"/>
      <c r="BC17" s="91"/>
    </row>
    <row r="18" spans="1:55" s="46" customFormat="1" ht="12.9" customHeight="1">
      <c r="A18" s="91"/>
      <c r="B18" s="986" t="s">
        <v>1083</v>
      </c>
      <c r="C18" s="987"/>
      <c r="D18" s="987"/>
      <c r="E18" s="987"/>
      <c r="F18" s="987"/>
      <c r="G18" s="988" t="s">
        <v>1086</v>
      </c>
      <c r="H18" s="988"/>
      <c r="I18" s="988"/>
      <c r="J18" s="988"/>
      <c r="K18" s="988"/>
      <c r="L18" s="988"/>
      <c r="M18" s="988"/>
      <c r="N18" s="988"/>
      <c r="O18" s="988"/>
      <c r="P18" s="988"/>
      <c r="Q18" s="988"/>
      <c r="R18" s="988"/>
      <c r="S18" s="988"/>
      <c r="T18" s="988"/>
      <c r="U18" s="587"/>
      <c r="V18" s="587"/>
      <c r="W18" s="587"/>
      <c r="X18" s="587"/>
      <c r="Y18" s="587"/>
      <c r="Z18" s="587"/>
      <c r="AA18" s="216" t="s">
        <v>713</v>
      </c>
      <c r="AB18" s="994">
        <v>2025</v>
      </c>
      <c r="AC18" s="995"/>
      <c r="AD18" s="995"/>
      <c r="AE18" s="995"/>
      <c r="AF18" s="995"/>
      <c r="AG18" s="995"/>
      <c r="AH18" s="995"/>
      <c r="AI18" s="995"/>
      <c r="AJ18" s="995"/>
      <c r="AK18" s="995"/>
      <c r="AL18" s="996"/>
      <c r="AM18" s="158"/>
      <c r="AN18" s="158"/>
      <c r="AO18"/>
      <c r="AP18" s="588" t="s">
        <v>920</v>
      </c>
      <c r="AQ18" s="265" t="s">
        <v>464</v>
      </c>
      <c r="AR18" s="158"/>
      <c r="AS18" s="158"/>
      <c r="AT18"/>
      <c r="AU18"/>
      <c r="AV18"/>
      <c r="AW18"/>
      <c r="AX18"/>
      <c r="AY18" s="158"/>
      <c r="AZ18" s="158"/>
      <c r="BA18" s="158"/>
      <c r="BB18" s="584"/>
      <c r="BC18" s="91"/>
    </row>
    <row r="19" spans="1:55" s="46" customFormat="1" ht="12.9" customHeight="1">
      <c r="A19" s="91"/>
      <c r="B19" s="986"/>
      <c r="C19" s="987"/>
      <c r="D19" s="987"/>
      <c r="E19" s="987"/>
      <c r="F19" s="987"/>
      <c r="G19" s="988"/>
      <c r="H19" s="988"/>
      <c r="I19" s="988"/>
      <c r="J19" s="988"/>
      <c r="K19" s="988"/>
      <c r="L19" s="988"/>
      <c r="M19" s="988"/>
      <c r="N19" s="988"/>
      <c r="O19" s="988"/>
      <c r="P19" s="988"/>
      <c r="Q19" s="988"/>
      <c r="R19" s="988"/>
      <c r="S19" s="988"/>
      <c r="T19" s="988"/>
      <c r="U19" s="587"/>
      <c r="V19" s="587"/>
      <c r="W19" s="587"/>
      <c r="X19" s="587"/>
      <c r="Y19" s="587"/>
      <c r="Z19" s="587"/>
      <c r="AA19" s="216" t="s">
        <v>927</v>
      </c>
      <c r="AB19" s="994" t="s">
        <v>1279</v>
      </c>
      <c r="AC19" s="995"/>
      <c r="AD19" s="995"/>
      <c r="AE19" s="995"/>
      <c r="AF19" s="996"/>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 customHeight="1">
      <c r="A20" s="91"/>
      <c r="B20" s="986"/>
      <c r="C20" s="987"/>
      <c r="D20" s="987"/>
      <c r="E20" s="987"/>
      <c r="F20" s="987"/>
      <c r="G20" s="988"/>
      <c r="H20" s="988"/>
      <c r="I20" s="988"/>
      <c r="J20" s="988"/>
      <c r="K20" s="988"/>
      <c r="L20" s="988"/>
      <c r="M20" s="988"/>
      <c r="N20" s="988"/>
      <c r="O20" s="988"/>
      <c r="P20" s="988"/>
      <c r="Q20" s="988"/>
      <c r="R20" s="988"/>
      <c r="S20" s="988"/>
      <c r="T20" s="988"/>
      <c r="U20" s="587"/>
      <c r="V20" s="587"/>
      <c r="W20" s="587"/>
      <c r="X20" s="587"/>
      <c r="Y20" s="587"/>
      <c r="Z20" s="587"/>
      <c r="AA20" s="216" t="s">
        <v>1012</v>
      </c>
      <c r="AB20" s="1019">
        <v>45658</v>
      </c>
      <c r="AC20" s="1020"/>
      <c r="AD20" s="1020"/>
      <c r="AE20" s="1020"/>
      <c r="AF20" s="1020"/>
      <c r="AG20" s="1020"/>
      <c r="AH20" s="1020"/>
      <c r="AI20" s="1020"/>
      <c r="AJ20" s="1020"/>
      <c r="AK20" s="1020"/>
      <c r="AL20" s="1021"/>
      <c r="AM20" s="158"/>
      <c r="AN20" s="158"/>
      <c r="AO20"/>
      <c r="AP20" s="588" t="s">
        <v>917</v>
      </c>
      <c r="AQ20" s="265" t="s">
        <v>8</v>
      </c>
      <c r="AR20" s="158"/>
      <c r="AS20" s="158"/>
      <c r="AT20"/>
      <c r="AU20"/>
      <c r="AV20"/>
      <c r="AW20" s="216"/>
      <c r="AX20"/>
      <c r="AY20" s="158"/>
      <c r="AZ20" s="158"/>
      <c r="BA20" s="158"/>
      <c r="BB20" s="584"/>
      <c r="BC20" s="91"/>
    </row>
    <row r="21" spans="1:55" s="46" customFormat="1" ht="12.9" customHeight="1">
      <c r="A21" s="91"/>
      <c r="B21" s="986" t="s">
        <v>942</v>
      </c>
      <c r="C21" s="987"/>
      <c r="D21" s="987"/>
      <c r="E21" s="987"/>
      <c r="F21" s="987"/>
      <c r="G21" s="988" t="s">
        <v>974</v>
      </c>
      <c r="H21" s="988"/>
      <c r="I21" s="988"/>
      <c r="J21" s="988"/>
      <c r="K21" s="988"/>
      <c r="L21" s="988"/>
      <c r="M21" s="988"/>
      <c r="N21" s="988"/>
      <c r="O21" s="988"/>
      <c r="P21" s="988"/>
      <c r="Q21" s="988"/>
      <c r="R21" s="988"/>
      <c r="S21" s="988"/>
      <c r="T21" s="988"/>
      <c r="U21" s="587"/>
      <c r="V21" s="587"/>
      <c r="W21" s="587"/>
      <c r="X21" s="587"/>
      <c r="Y21" s="587"/>
      <c r="Z21" s="587"/>
      <c r="AA21" s="216" t="s">
        <v>1013</v>
      </c>
      <c r="AB21" s="1025">
        <v>46022</v>
      </c>
      <c r="AC21" s="1026"/>
      <c r="AD21" s="1026"/>
      <c r="AE21" s="1026"/>
      <c r="AF21" s="1026"/>
      <c r="AG21" s="1026"/>
      <c r="AH21" s="1026"/>
      <c r="AI21" s="1026"/>
      <c r="AJ21" s="1026"/>
      <c r="AK21" s="1026"/>
      <c r="AL21" s="1027"/>
      <c r="AM21" s="158"/>
      <c r="AN21" s="158"/>
      <c r="AO21"/>
      <c r="AP21" s="588" t="s">
        <v>918</v>
      </c>
      <c r="AQ21" s="265" t="s">
        <v>7</v>
      </c>
      <c r="AR21" s="158"/>
      <c r="AS21" s="158"/>
      <c r="AT21"/>
      <c r="AU21"/>
      <c r="AV21"/>
      <c r="AW21" s="216"/>
      <c r="AX21"/>
      <c r="AY21" s="158"/>
      <c r="AZ21" s="158"/>
      <c r="BA21" s="158"/>
      <c r="BB21" s="584"/>
      <c r="BC21" s="91"/>
    </row>
    <row r="22" spans="1:55" s="46" customFormat="1" ht="12.9" customHeight="1">
      <c r="A22" s="91"/>
      <c r="B22" s="986"/>
      <c r="C22" s="987"/>
      <c r="D22" s="987"/>
      <c r="E22" s="987"/>
      <c r="F22" s="987"/>
      <c r="G22" s="988"/>
      <c r="H22" s="988"/>
      <c r="I22" s="988"/>
      <c r="J22" s="988"/>
      <c r="K22" s="988"/>
      <c r="L22" s="988"/>
      <c r="M22" s="988"/>
      <c r="N22" s="988"/>
      <c r="O22" s="988"/>
      <c r="P22" s="988"/>
      <c r="Q22" s="988"/>
      <c r="R22" s="988"/>
      <c r="S22" s="988"/>
      <c r="T22" s="988"/>
      <c r="U22" s="587"/>
      <c r="V22" s="587"/>
      <c r="W22" s="587"/>
      <c r="X22" s="587"/>
      <c r="Y22" s="587"/>
      <c r="Z22" s="587"/>
      <c r="AA22" s="216" t="s">
        <v>238</v>
      </c>
      <c r="AB22" s="1016" t="s">
        <v>25</v>
      </c>
      <c r="AC22" s="1017"/>
      <c r="AD22" s="1017"/>
      <c r="AE22" s="1017"/>
      <c r="AF22" s="1017"/>
      <c r="AG22" s="1017"/>
      <c r="AH22" s="1017"/>
      <c r="AI22" s="1017"/>
      <c r="AJ22" s="1017"/>
      <c r="AK22" s="1017"/>
      <c r="AL22" s="1018"/>
      <c r="AM22" s="158"/>
      <c r="AN22" s="158"/>
      <c r="AO22"/>
      <c r="AP22" s="588" t="s">
        <v>568</v>
      </c>
      <c r="AQ22" s="265" t="s">
        <v>54</v>
      </c>
      <c r="AR22" s="158"/>
      <c r="AS22" s="158"/>
      <c r="AT22"/>
      <c r="AU22"/>
      <c r="AV22"/>
      <c r="AW22" s="216"/>
      <c r="AX22"/>
      <c r="AY22" s="158"/>
      <c r="AZ22" s="158"/>
      <c r="BA22" s="158"/>
      <c r="BB22" s="584"/>
      <c r="BC22" s="91"/>
    </row>
    <row r="23" spans="1:55" s="46" customFormat="1" ht="12.9" customHeight="1">
      <c r="A23" s="91"/>
      <c r="B23" s="986"/>
      <c r="C23" s="987"/>
      <c r="D23" s="987"/>
      <c r="E23" s="987"/>
      <c r="F23" s="987"/>
      <c r="G23" s="988"/>
      <c r="H23" s="988"/>
      <c r="I23" s="988"/>
      <c r="J23" s="988"/>
      <c r="K23" s="988"/>
      <c r="L23" s="988"/>
      <c r="M23" s="988"/>
      <c r="N23" s="988"/>
      <c r="O23" s="988"/>
      <c r="P23" s="988"/>
      <c r="Q23" s="988"/>
      <c r="R23" s="988"/>
      <c r="S23" s="988"/>
      <c r="T23" s="988"/>
      <c r="U23" s="587"/>
      <c r="AA23" s="216" t="s">
        <v>1010</v>
      </c>
      <c r="AB23" s="954" t="s">
        <v>1004</v>
      </c>
      <c r="AC23" s="955"/>
      <c r="AD23" s="955"/>
      <c r="AE23" s="955"/>
      <c r="AF23" s="956"/>
      <c r="AG23" s="957"/>
      <c r="AH23" s="957"/>
      <c r="AI23" s="957"/>
      <c r="AJ23" s="957"/>
      <c r="AK23" s="957"/>
      <c r="AL23" s="957"/>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 customHeight="1">
      <c r="A24" s="91"/>
      <c r="B24" s="986" t="s">
        <v>944</v>
      </c>
      <c r="C24" s="987"/>
      <c r="D24" s="987"/>
      <c r="E24" s="987"/>
      <c r="F24" s="987"/>
      <c r="G24" s="988" t="s">
        <v>945</v>
      </c>
      <c r="H24" s="988"/>
      <c r="I24" s="988"/>
      <c r="J24" s="988"/>
      <c r="K24" s="988"/>
      <c r="L24" s="988"/>
      <c r="M24" s="988"/>
      <c r="N24" s="988"/>
      <c r="O24" s="988"/>
      <c r="P24" s="988"/>
      <c r="Q24" s="988"/>
      <c r="R24" s="988"/>
      <c r="S24" s="988"/>
      <c r="T24" s="988"/>
      <c r="U24" s="587"/>
      <c r="AA24" s="216" t="s">
        <v>1002</v>
      </c>
      <c r="AB24" s="958" t="s">
        <v>1006</v>
      </c>
      <c r="AC24" s="959"/>
      <c r="AD24" s="959"/>
      <c r="AE24" s="959"/>
      <c r="AF24" s="960"/>
      <c r="AG24" s="961"/>
      <c r="AH24" s="962"/>
      <c r="AI24" s="962"/>
      <c r="AJ24" s="962"/>
      <c r="AK24" s="962"/>
      <c r="AL24" s="962"/>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 customHeight="1">
      <c r="A25" s="91"/>
      <c r="B25" s="986"/>
      <c r="C25" s="987"/>
      <c r="D25" s="987"/>
      <c r="E25" s="987"/>
      <c r="F25" s="987"/>
      <c r="G25" s="988"/>
      <c r="H25" s="988"/>
      <c r="I25" s="988"/>
      <c r="J25" s="988"/>
      <c r="K25" s="988"/>
      <c r="L25" s="988"/>
      <c r="M25" s="988"/>
      <c r="N25" s="988"/>
      <c r="O25" s="988"/>
      <c r="P25" s="988"/>
      <c r="Q25" s="988"/>
      <c r="R25" s="988"/>
      <c r="S25" s="988"/>
      <c r="T25" s="988"/>
      <c r="U25" s="587"/>
      <c r="V25" s="587"/>
      <c r="W25" s="587"/>
      <c r="X25" s="587"/>
      <c r="Y25" s="587"/>
      <c r="Z25" s="587"/>
      <c r="AA25" s="216" t="s">
        <v>999</v>
      </c>
      <c r="AB25" s="958" t="s">
        <v>1282</v>
      </c>
      <c r="AC25" s="959"/>
      <c r="AD25" s="959"/>
      <c r="AE25" s="959"/>
      <c r="AF25" s="959"/>
      <c r="AG25" s="959"/>
      <c r="AH25" s="959"/>
      <c r="AI25" s="959"/>
      <c r="AJ25" s="959"/>
      <c r="AK25" s="959"/>
      <c r="AL25" s="968"/>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 customHeight="1">
      <c r="A26" s="91"/>
      <c r="B26" s="986"/>
      <c r="C26" s="987"/>
      <c r="D26" s="987"/>
      <c r="E26" s="987"/>
      <c r="F26" s="987"/>
      <c r="G26" s="988"/>
      <c r="H26" s="988"/>
      <c r="I26" s="988"/>
      <c r="J26" s="988"/>
      <c r="K26" s="988"/>
      <c r="L26" s="988"/>
      <c r="M26" s="988"/>
      <c r="N26" s="988"/>
      <c r="O26" s="988"/>
      <c r="P26" s="988"/>
      <c r="Q26" s="988"/>
      <c r="R26" s="988"/>
      <c r="S26" s="988"/>
      <c r="T26" s="988"/>
      <c r="U26" s="587"/>
      <c r="V26" s="587"/>
      <c r="W26" s="587"/>
      <c r="X26" s="587"/>
      <c r="Y26" s="587"/>
      <c r="Z26" s="587"/>
      <c r="AA26" s="592" t="s">
        <v>996</v>
      </c>
      <c r="AB26" s="958" t="s">
        <v>27</v>
      </c>
      <c r="AC26" s="959"/>
      <c r="AD26" s="959"/>
      <c r="AE26" s="959"/>
      <c r="AF26" s="959"/>
      <c r="AG26" s="959"/>
      <c r="AH26" s="959"/>
      <c r="AI26" s="959"/>
      <c r="AJ26" s="959"/>
      <c r="AK26" s="959"/>
      <c r="AL26" s="968"/>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 customHeight="1">
      <c r="A27" s="91"/>
      <c r="B27" s="986" t="s">
        <v>783</v>
      </c>
      <c r="C27" s="987"/>
      <c r="D27" s="987"/>
      <c r="E27" s="987"/>
      <c r="F27" s="987"/>
      <c r="G27" s="988" t="s">
        <v>992</v>
      </c>
      <c r="H27" s="988"/>
      <c r="I27" s="988"/>
      <c r="J27" s="988"/>
      <c r="K27" s="988"/>
      <c r="L27" s="988"/>
      <c r="M27" s="988"/>
      <c r="N27" s="988"/>
      <c r="O27" s="988"/>
      <c r="P27" s="988"/>
      <c r="Q27" s="988"/>
      <c r="R27" s="988"/>
      <c r="S27" s="988"/>
      <c r="T27" s="988"/>
      <c r="U27" s="587"/>
      <c r="AA27" s="592" t="s">
        <v>997</v>
      </c>
      <c r="AB27" s="958" t="s">
        <v>27</v>
      </c>
      <c r="AC27" s="959"/>
      <c r="AD27" s="959"/>
      <c r="AE27" s="959"/>
      <c r="AF27" s="959"/>
      <c r="AG27" s="959"/>
      <c r="AH27" s="959"/>
      <c r="AI27" s="959"/>
      <c r="AJ27" s="959"/>
      <c r="AK27" s="959"/>
      <c r="AL27" s="968"/>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 customHeight="1">
      <c r="A28" s="91"/>
      <c r="B28" s="986"/>
      <c r="C28" s="987"/>
      <c r="D28" s="987"/>
      <c r="E28" s="987"/>
      <c r="F28" s="987"/>
      <c r="G28" s="988"/>
      <c r="H28" s="988"/>
      <c r="I28" s="988"/>
      <c r="J28" s="988"/>
      <c r="K28" s="988"/>
      <c r="L28" s="988"/>
      <c r="M28" s="988"/>
      <c r="N28" s="988"/>
      <c r="O28" s="988"/>
      <c r="P28" s="988"/>
      <c r="Q28" s="988"/>
      <c r="R28" s="988"/>
      <c r="S28" s="988"/>
      <c r="T28" s="988"/>
      <c r="U28" s="623"/>
      <c r="V28" s="587"/>
      <c r="W28" s="587"/>
      <c r="X28" s="587"/>
      <c r="Y28" s="587"/>
      <c r="Z28" s="587"/>
      <c r="AB28" s="585"/>
      <c r="AC28" s="585"/>
      <c r="AD28" s="585"/>
      <c r="AE28" s="585"/>
      <c r="AF28" s="585"/>
      <c r="AG28" s="585"/>
      <c r="AH28" s="216" t="s">
        <v>1000</v>
      </c>
      <c r="AI28" s="970">
        <v>481</v>
      </c>
      <c r="AJ28" s="971"/>
      <c r="AK28" s="971"/>
      <c r="AL28" s="972"/>
      <c r="AM28" s="619"/>
      <c r="AN28" s="619"/>
      <c r="AO28" s="619"/>
      <c r="AP28" s="619"/>
      <c r="AQ28" s="619"/>
      <c r="AR28" s="619"/>
      <c r="AS28" s="619"/>
      <c r="AT28" s="619"/>
      <c r="AU28" s="619"/>
      <c r="AV28" s="619"/>
      <c r="AW28" s="619"/>
      <c r="AX28" s="619"/>
      <c r="AY28" s="619"/>
      <c r="AZ28" s="619"/>
      <c r="BA28" s="619"/>
      <c r="BB28" s="584"/>
      <c r="BC28" s="91"/>
    </row>
    <row r="29" spans="1:55" s="46" customFormat="1" ht="12.9" customHeight="1">
      <c r="A29" s="91"/>
      <c r="B29" s="986"/>
      <c r="C29" s="987"/>
      <c r="D29" s="987"/>
      <c r="E29" s="987"/>
      <c r="F29" s="987"/>
      <c r="G29" s="988"/>
      <c r="H29" s="988"/>
      <c r="I29" s="988"/>
      <c r="J29" s="988"/>
      <c r="K29" s="988"/>
      <c r="L29" s="988"/>
      <c r="M29" s="988"/>
      <c r="N29" s="988"/>
      <c r="O29" s="988"/>
      <c r="P29" s="988"/>
      <c r="Q29" s="988"/>
      <c r="R29" s="988"/>
      <c r="S29" s="988"/>
      <c r="T29" s="988"/>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 customHeight="1">
      <c r="A30" s="91"/>
      <c r="B30" s="986" t="s">
        <v>946</v>
      </c>
      <c r="C30" s="987"/>
      <c r="D30" s="987"/>
      <c r="E30" s="987"/>
      <c r="F30" s="987"/>
      <c r="G30" s="988" t="s">
        <v>947</v>
      </c>
      <c r="H30" s="988"/>
      <c r="I30" s="988"/>
      <c r="J30" s="988"/>
      <c r="K30" s="988"/>
      <c r="L30" s="988"/>
      <c r="M30" s="988"/>
      <c r="N30" s="988"/>
      <c r="O30" s="988"/>
      <c r="P30" s="988"/>
      <c r="Q30" s="988"/>
      <c r="R30" s="988"/>
      <c r="S30" s="988"/>
      <c r="T30" s="988"/>
      <c r="U30" s="623"/>
      <c r="BB30" s="584"/>
      <c r="BC30" s="91"/>
    </row>
    <row r="31" spans="1:55" s="46" customFormat="1" ht="12.9" customHeight="1">
      <c r="A31" s="91"/>
      <c r="B31" s="986"/>
      <c r="C31" s="987"/>
      <c r="D31" s="987"/>
      <c r="E31" s="987"/>
      <c r="F31" s="987"/>
      <c r="G31" s="988"/>
      <c r="H31" s="988"/>
      <c r="I31" s="988"/>
      <c r="J31" s="988"/>
      <c r="K31" s="988"/>
      <c r="L31" s="988"/>
      <c r="M31" s="988"/>
      <c r="N31" s="988"/>
      <c r="O31" s="988"/>
      <c r="P31" s="988"/>
      <c r="Q31" s="988"/>
      <c r="R31" s="988"/>
      <c r="S31" s="988"/>
      <c r="T31" s="988"/>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 customHeight="1">
      <c r="A32" s="91"/>
      <c r="B32" s="986"/>
      <c r="C32" s="987"/>
      <c r="D32" s="987"/>
      <c r="E32" s="987"/>
      <c r="F32" s="987"/>
      <c r="G32" s="988"/>
      <c r="H32" s="988"/>
      <c r="I32" s="988"/>
      <c r="J32" s="988"/>
      <c r="K32" s="988"/>
      <c r="L32" s="988"/>
      <c r="M32" s="988"/>
      <c r="N32" s="988"/>
      <c r="O32" s="988"/>
      <c r="P32" s="988"/>
      <c r="Q32" s="988"/>
      <c r="R32" s="988"/>
      <c r="S32" s="988"/>
      <c r="T32" s="988"/>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 customHeight="1">
      <c r="A33" s="91"/>
      <c r="B33" s="986" t="s">
        <v>948</v>
      </c>
      <c r="C33" s="987"/>
      <c r="D33" s="987"/>
      <c r="E33" s="987"/>
      <c r="F33" s="987"/>
      <c r="G33" s="988" t="s">
        <v>975</v>
      </c>
      <c r="H33" s="988"/>
      <c r="I33" s="988"/>
      <c r="J33" s="988"/>
      <c r="K33" s="988"/>
      <c r="L33" s="988"/>
      <c r="M33" s="988"/>
      <c r="N33" s="988"/>
      <c r="O33" s="988"/>
      <c r="P33" s="988"/>
      <c r="Q33" s="988"/>
      <c r="R33" s="988"/>
      <c r="S33" s="988"/>
      <c r="T33" s="988"/>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 customHeight="1">
      <c r="A34" s="91"/>
      <c r="B34" s="986"/>
      <c r="C34" s="987"/>
      <c r="D34" s="987"/>
      <c r="E34" s="987"/>
      <c r="F34" s="987"/>
      <c r="G34" s="988"/>
      <c r="H34" s="988"/>
      <c r="I34" s="988"/>
      <c r="J34" s="988"/>
      <c r="K34" s="988"/>
      <c r="L34" s="988"/>
      <c r="M34" s="988"/>
      <c r="N34" s="988"/>
      <c r="O34" s="988"/>
      <c r="P34" s="988"/>
      <c r="Q34" s="988"/>
      <c r="R34" s="988"/>
      <c r="S34" s="988"/>
      <c r="T34" s="988"/>
      <c r="U34" s="631"/>
      <c r="V34" s="623"/>
      <c r="X34" s="650"/>
      <c r="Y34" s="650"/>
      <c r="AA34" s="908" t="s">
        <v>930</v>
      </c>
      <c r="AB34" s="974" t="s">
        <v>667</v>
      </c>
      <c r="AC34" s="974"/>
      <c r="AD34" s="974"/>
      <c r="AE34" s="974"/>
      <c r="AF34" s="610"/>
      <c r="AG34" s="610"/>
      <c r="AH34" s="610"/>
      <c r="AI34" s="610"/>
      <c r="AJ34" s="620"/>
      <c r="AK34" s="620"/>
      <c r="AM34" s="650"/>
      <c r="AN34" s="650"/>
      <c r="AO34" s="650"/>
      <c r="AR34" s="908" t="s">
        <v>930</v>
      </c>
      <c r="AS34" s="974" t="s">
        <v>673</v>
      </c>
      <c r="AT34" s="974"/>
      <c r="AU34" s="974"/>
      <c r="AV34" s="974"/>
      <c r="AW34" s="974"/>
      <c r="AX34" s="974"/>
      <c r="AY34" s="974"/>
      <c r="AZ34" s="974"/>
      <c r="BA34" s="621"/>
      <c r="BB34" s="584"/>
      <c r="BC34" s="91"/>
    </row>
    <row r="35" spans="1:55" s="46" customFormat="1" ht="12.9" customHeight="1">
      <c r="A35" s="91"/>
      <c r="B35" s="986"/>
      <c r="C35" s="987"/>
      <c r="D35" s="987"/>
      <c r="E35" s="987"/>
      <c r="F35" s="987"/>
      <c r="G35" s="988"/>
      <c r="H35" s="988"/>
      <c r="I35" s="988"/>
      <c r="J35" s="988"/>
      <c r="K35" s="988"/>
      <c r="L35" s="988"/>
      <c r="M35" s="988"/>
      <c r="N35" s="988"/>
      <c r="O35" s="988"/>
      <c r="P35" s="988"/>
      <c r="Q35" s="988"/>
      <c r="R35" s="988"/>
      <c r="S35" s="988"/>
      <c r="T35" s="988"/>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 customHeight="1">
      <c r="A36" s="91"/>
      <c r="B36" s="986" t="s">
        <v>949</v>
      </c>
      <c r="C36" s="987"/>
      <c r="D36" s="987"/>
      <c r="E36" s="987"/>
      <c r="F36" s="987"/>
      <c r="G36" s="988" t="s">
        <v>950</v>
      </c>
      <c r="H36" s="988"/>
      <c r="I36" s="988"/>
      <c r="J36" s="988"/>
      <c r="K36" s="988"/>
      <c r="L36" s="988"/>
      <c r="M36" s="988"/>
      <c r="N36" s="988"/>
      <c r="O36" s="988"/>
      <c r="P36" s="988"/>
      <c r="Q36" s="988"/>
      <c r="R36" s="988"/>
      <c r="S36" s="988"/>
      <c r="T36" s="988"/>
      <c r="U36" s="631"/>
      <c r="V36" s="975" t="s">
        <v>991</v>
      </c>
      <c r="W36" s="975"/>
      <c r="X36" s="975"/>
      <c r="Y36" s="975"/>
      <c r="Z36" s="975"/>
      <c r="AA36" s="975"/>
      <c r="AB36" s="975"/>
      <c r="AC36" s="975"/>
      <c r="AD36" s="975"/>
      <c r="AE36" s="975"/>
      <c r="AF36" s="975"/>
      <c r="AG36" s="646"/>
      <c r="AH36" s="969" t="s">
        <v>1245</v>
      </c>
      <c r="AI36" s="969"/>
      <c r="AJ36" s="969"/>
      <c r="AK36" s="969"/>
      <c r="AL36" s="969"/>
      <c r="AM36" s="969"/>
      <c r="AN36" s="969"/>
      <c r="AO36" s="969"/>
      <c r="AP36" s="969"/>
      <c r="AQ36" s="969"/>
      <c r="AR36" s="969"/>
      <c r="AS36" s="969"/>
      <c r="AT36" s="969"/>
      <c r="AU36" s="969"/>
      <c r="AV36" s="969"/>
      <c r="AW36" s="969"/>
      <c r="AX36" s="969"/>
      <c r="AY36" s="969"/>
      <c r="AZ36" s="969"/>
      <c r="BA36" s="969"/>
      <c r="BB36" s="584"/>
      <c r="BC36" s="91"/>
    </row>
    <row r="37" spans="1:55" s="46" customFormat="1" ht="12.9" customHeight="1">
      <c r="A37" s="91"/>
      <c r="B37" s="986"/>
      <c r="C37" s="987"/>
      <c r="D37" s="987"/>
      <c r="E37" s="987"/>
      <c r="F37" s="987"/>
      <c r="G37" s="988"/>
      <c r="H37" s="988"/>
      <c r="I37" s="988"/>
      <c r="J37" s="988"/>
      <c r="K37" s="988"/>
      <c r="L37" s="988"/>
      <c r="M37" s="988"/>
      <c r="N37" s="988"/>
      <c r="O37" s="988"/>
      <c r="P37" s="988"/>
      <c r="Q37" s="988"/>
      <c r="R37" s="988"/>
      <c r="S37" s="988"/>
      <c r="T37" s="988"/>
      <c r="U37" s="631"/>
      <c r="V37" s="975" t="s">
        <v>973</v>
      </c>
      <c r="W37" s="975"/>
      <c r="X37" s="975"/>
      <c r="Y37" s="975"/>
      <c r="Z37" s="975"/>
      <c r="AA37" s="975"/>
      <c r="AB37" s="975"/>
      <c r="AC37" s="975"/>
      <c r="AD37" s="975"/>
      <c r="AE37" s="975"/>
      <c r="AF37" s="975"/>
      <c r="AG37" s="646"/>
      <c r="AH37" s="969"/>
      <c r="AI37" s="969"/>
      <c r="AJ37" s="969"/>
      <c r="AK37" s="969"/>
      <c r="AL37" s="969"/>
      <c r="AM37" s="969"/>
      <c r="AN37" s="969"/>
      <c r="AO37" s="969"/>
      <c r="AP37" s="969"/>
      <c r="AQ37" s="969"/>
      <c r="AR37" s="969"/>
      <c r="AS37" s="969"/>
      <c r="AT37" s="969"/>
      <c r="AU37" s="969"/>
      <c r="AV37" s="969"/>
      <c r="AW37" s="969"/>
      <c r="AX37" s="969"/>
      <c r="AY37" s="969"/>
      <c r="AZ37" s="969"/>
      <c r="BA37" s="969"/>
      <c r="BB37" s="584"/>
      <c r="BC37" s="91"/>
    </row>
    <row r="38" spans="1:55" s="46" customFormat="1" ht="12.9" customHeight="1">
      <c r="A38" s="91"/>
      <c r="B38" s="986"/>
      <c r="C38" s="987"/>
      <c r="D38" s="987"/>
      <c r="E38" s="987"/>
      <c r="F38" s="987"/>
      <c r="G38" s="988"/>
      <c r="H38" s="988"/>
      <c r="I38" s="988"/>
      <c r="J38" s="988"/>
      <c r="K38" s="988"/>
      <c r="L38" s="988"/>
      <c r="M38" s="988"/>
      <c r="N38" s="988"/>
      <c r="O38" s="988"/>
      <c r="P38" s="988"/>
      <c r="Q38" s="988"/>
      <c r="R38" s="988"/>
      <c r="S38" s="988"/>
      <c r="T38" s="988"/>
      <c r="U38" s="631"/>
      <c r="V38" s="630"/>
      <c r="W38" s="630"/>
      <c r="X38" s="973" t="s">
        <v>1016</v>
      </c>
      <c r="Y38" s="973"/>
      <c r="Z38" s="973"/>
      <c r="AA38" s="973"/>
      <c r="AB38" s="973"/>
      <c r="AC38" s="973"/>
      <c r="AD38" s="973"/>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 customHeight="1">
      <c r="A39" s="91"/>
      <c r="B39" s="986" t="s">
        <v>951</v>
      </c>
      <c r="C39" s="987"/>
      <c r="D39" s="987"/>
      <c r="E39" s="987"/>
      <c r="F39" s="987"/>
      <c r="G39" s="988" t="s">
        <v>952</v>
      </c>
      <c r="H39" s="988"/>
      <c r="I39" s="988"/>
      <c r="J39" s="988"/>
      <c r="K39" s="988"/>
      <c r="L39" s="988"/>
      <c r="M39" s="988"/>
      <c r="N39" s="988"/>
      <c r="O39" s="988"/>
      <c r="P39" s="988"/>
      <c r="Q39" s="988"/>
      <c r="R39" s="988"/>
      <c r="S39" s="988"/>
      <c r="T39" s="988"/>
      <c r="U39" s="631"/>
      <c r="V39" s="630"/>
      <c r="W39" s="977">
        <v>0.01</v>
      </c>
      <c r="X39" s="977"/>
      <c r="Y39" s="977"/>
      <c r="Z39" s="963" t="s">
        <v>787</v>
      </c>
      <c r="AA39" s="964"/>
      <c r="AB39" s="965"/>
      <c r="AC39" s="628" t="s">
        <v>878</v>
      </c>
      <c r="AD39" s="630"/>
      <c r="AE39" s="630"/>
      <c r="AF39" s="630"/>
      <c r="AG39" s="630"/>
      <c r="AH39" s="630"/>
      <c r="AI39" s="630"/>
      <c r="AJ39" s="630"/>
      <c r="AK39" s="630"/>
      <c r="AL39" s="629"/>
      <c r="AM39" s="620"/>
      <c r="AN39" s="632"/>
      <c r="AO39" s="976"/>
      <c r="AP39" s="976"/>
      <c r="AQ39" s="976"/>
      <c r="AR39" s="976"/>
      <c r="AS39" s="976"/>
      <c r="AT39" s="976"/>
      <c r="AU39" s="976"/>
      <c r="AV39" s="976"/>
      <c r="AW39" s="976"/>
      <c r="AX39" s="630"/>
      <c r="AY39" s="630"/>
      <c r="AZ39" s="634"/>
      <c r="BA39" s="621"/>
      <c r="BB39" s="584"/>
      <c r="BC39" s="91"/>
    </row>
    <row r="40" spans="1:55" s="46" customFormat="1" ht="12.9" customHeight="1">
      <c r="A40" s="91"/>
      <c r="B40" s="986"/>
      <c r="C40" s="987"/>
      <c r="D40" s="987"/>
      <c r="E40" s="987"/>
      <c r="F40" s="987"/>
      <c r="G40" s="988"/>
      <c r="H40" s="988"/>
      <c r="I40" s="988"/>
      <c r="J40" s="988"/>
      <c r="K40" s="988"/>
      <c r="L40" s="988"/>
      <c r="M40" s="988"/>
      <c r="N40" s="988"/>
      <c r="O40" s="988"/>
      <c r="P40" s="988"/>
      <c r="Q40" s="988"/>
      <c r="R40" s="988"/>
      <c r="S40" s="988"/>
      <c r="T40" s="988"/>
      <c r="U40" s="631"/>
      <c r="V40" s="630"/>
      <c r="W40" s="630"/>
      <c r="X40" s="630"/>
      <c r="Y40" s="630"/>
      <c r="Z40" s="963" t="s">
        <v>788</v>
      </c>
      <c r="AA40" s="964"/>
      <c r="AB40" s="965"/>
      <c r="AC40" s="966" t="s">
        <v>941</v>
      </c>
      <c r="AD40" s="967"/>
      <c r="AE40" s="967"/>
      <c r="AF40" s="630"/>
      <c r="AG40" s="630"/>
      <c r="AH40" s="630"/>
      <c r="AI40" s="630"/>
      <c r="AJ40" s="630"/>
      <c r="AK40" s="630"/>
      <c r="AL40" s="629"/>
      <c r="AM40" s="620"/>
      <c r="AN40" s="636"/>
      <c r="AO40" s="976"/>
      <c r="AP40" s="976"/>
      <c r="AQ40" s="976"/>
      <c r="AR40" s="976"/>
      <c r="AS40" s="976"/>
      <c r="AT40" s="976"/>
      <c r="AU40" s="976"/>
      <c r="AV40" s="976"/>
      <c r="AW40" s="976"/>
      <c r="AX40" s="630"/>
      <c r="AY40" s="630"/>
      <c r="AZ40" s="634"/>
      <c r="BA40" s="621"/>
      <c r="BB40" s="584"/>
      <c r="BC40" s="91"/>
    </row>
    <row r="41" spans="1:55" s="46" customFormat="1" ht="12.9" customHeight="1">
      <c r="A41" s="91"/>
      <c r="B41" s="986"/>
      <c r="C41" s="987"/>
      <c r="D41" s="987"/>
      <c r="E41" s="987"/>
      <c r="F41" s="987"/>
      <c r="G41" s="988"/>
      <c r="H41" s="988"/>
      <c r="I41" s="988"/>
      <c r="J41" s="988"/>
      <c r="K41" s="988"/>
      <c r="L41" s="988"/>
      <c r="M41" s="988"/>
      <c r="N41" s="988"/>
      <c r="O41" s="988"/>
      <c r="P41" s="988"/>
      <c r="Q41" s="988"/>
      <c r="R41" s="988"/>
      <c r="S41" s="988"/>
      <c r="T41" s="988"/>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 customHeight="1">
      <c r="A42" s="91"/>
      <c r="B42" s="593"/>
      <c r="U42" s="631"/>
      <c r="V42" s="975" t="s">
        <v>990</v>
      </c>
      <c r="W42" s="975"/>
      <c r="X42" s="975"/>
      <c r="Y42" s="975"/>
      <c r="Z42" s="975"/>
      <c r="AA42" s="975"/>
      <c r="AB42" s="975"/>
      <c r="AC42" s="975"/>
      <c r="AD42" s="975"/>
      <c r="AE42" s="975"/>
      <c r="AF42" s="975"/>
      <c r="AG42" s="630"/>
      <c r="AH42" s="976" t="s">
        <v>1244</v>
      </c>
      <c r="AI42" s="976"/>
      <c r="AJ42" s="976"/>
      <c r="AK42" s="976"/>
      <c r="AL42" s="976"/>
      <c r="AM42" s="976"/>
      <c r="AN42" s="976"/>
      <c r="AO42" s="976"/>
      <c r="AP42" s="976"/>
      <c r="AQ42" s="976"/>
      <c r="AR42" s="976"/>
      <c r="AS42" s="976"/>
      <c r="AT42" s="976"/>
      <c r="AU42" s="976"/>
      <c r="AV42" s="976"/>
      <c r="AW42" s="976"/>
      <c r="BB42" s="584"/>
      <c r="BC42" s="91"/>
    </row>
    <row r="43" spans="1:55" s="46" customFormat="1" ht="12.9" customHeight="1">
      <c r="A43" s="91"/>
      <c r="B43" s="593"/>
      <c r="U43" s="631"/>
      <c r="V43" s="975" t="s">
        <v>943</v>
      </c>
      <c r="W43" s="975"/>
      <c r="X43" s="975"/>
      <c r="Y43" s="975"/>
      <c r="Z43" s="975"/>
      <c r="AA43" s="975"/>
      <c r="AB43" s="975"/>
      <c r="AC43" s="975"/>
      <c r="AD43" s="975"/>
      <c r="AE43" s="975"/>
      <c r="AF43" s="975"/>
      <c r="AG43" s="646"/>
      <c r="AH43" s="976"/>
      <c r="AI43" s="976"/>
      <c r="AJ43" s="976"/>
      <c r="AK43" s="976"/>
      <c r="AL43" s="976"/>
      <c r="AM43" s="976"/>
      <c r="AN43" s="976"/>
      <c r="AO43" s="976"/>
      <c r="AP43" s="976"/>
      <c r="AQ43" s="976"/>
      <c r="AR43" s="976"/>
      <c r="AS43" s="976"/>
      <c r="AT43" s="976"/>
      <c r="AU43" s="976"/>
      <c r="AV43" s="976"/>
      <c r="AW43" s="976"/>
      <c r="AX43" s="983"/>
      <c r="AY43" s="984"/>
      <c r="AZ43" s="985"/>
      <c r="BA43" s="621"/>
      <c r="BB43" s="584"/>
      <c r="BC43" s="91"/>
    </row>
    <row r="44" spans="1:55" s="46" customFormat="1" ht="12.9" customHeight="1">
      <c r="A44" s="91"/>
      <c r="B44" s="593"/>
      <c r="C44" s="201" t="s">
        <v>1078</v>
      </c>
      <c r="D44" s="624"/>
      <c r="E44" s="624"/>
      <c r="U44" s="631"/>
      <c r="V44" s="630"/>
      <c r="W44" s="630"/>
      <c r="X44" s="973" t="s">
        <v>1016</v>
      </c>
      <c r="Y44" s="973"/>
      <c r="Z44" s="973"/>
      <c r="AA44" s="973"/>
      <c r="AB44" s="973"/>
      <c r="AC44" s="973"/>
      <c r="AD44" s="973"/>
      <c r="AE44" s="630"/>
      <c r="AF44" s="630"/>
      <c r="AG44" s="646"/>
      <c r="AH44" s="976"/>
      <c r="AI44" s="976"/>
      <c r="AJ44" s="976"/>
      <c r="AK44" s="976"/>
      <c r="AL44" s="976"/>
      <c r="AM44" s="976"/>
      <c r="AN44" s="976"/>
      <c r="AO44" s="976"/>
      <c r="AP44" s="976"/>
      <c r="AQ44" s="976"/>
      <c r="AR44" s="976"/>
      <c r="AS44" s="976"/>
      <c r="AT44" s="976"/>
      <c r="AU44" s="976"/>
      <c r="AV44" s="976"/>
      <c r="AW44" s="976"/>
      <c r="AX44" s="618"/>
      <c r="AY44" s="618"/>
      <c r="AZ44" s="618"/>
      <c r="BA44" s="621"/>
      <c r="BB44" s="584"/>
      <c r="BC44" s="91"/>
    </row>
    <row r="45" spans="1:55" s="46" customFormat="1" ht="12.9"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980">
        <v>2.5000000000000001E-3</v>
      </c>
      <c r="X45" s="981"/>
      <c r="Y45" s="982"/>
      <c r="Z45" s="964" t="s">
        <v>786</v>
      </c>
      <c r="AA45" s="964"/>
      <c r="AB45" s="965"/>
      <c r="AC45" s="628" t="s">
        <v>878</v>
      </c>
      <c r="AD45" s="630"/>
      <c r="AE45" s="630"/>
      <c r="AF45" s="630"/>
      <c r="AG45" s="646"/>
      <c r="AH45" s="646"/>
      <c r="AI45" s="979" t="s">
        <v>1243</v>
      </c>
      <c r="AJ45" s="979"/>
      <c r="AK45" s="979"/>
      <c r="AL45" s="979"/>
      <c r="AM45" s="979"/>
      <c r="AN45" s="979"/>
      <c r="AO45" s="979"/>
      <c r="AP45" s="979"/>
      <c r="AQ45" s="979"/>
      <c r="AR45" s="979"/>
      <c r="AS45" s="979"/>
      <c r="AT45" s="979"/>
      <c r="AU45" s="979"/>
      <c r="AV45" s="979"/>
      <c r="AW45" s="979"/>
      <c r="AX45" s="621"/>
      <c r="AY45" s="621"/>
      <c r="AZ45" s="621"/>
      <c r="BA45" s="621"/>
      <c r="BB45" s="584"/>
      <c r="BC45" s="91"/>
    </row>
    <row r="46" spans="1:55" s="46" customFormat="1" ht="12.9"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963" t="s">
        <v>835</v>
      </c>
      <c r="AA46" s="964"/>
      <c r="AB46" s="965"/>
      <c r="AC46" s="966" t="s">
        <v>1017</v>
      </c>
      <c r="AD46" s="967"/>
      <c r="AE46" s="967"/>
      <c r="AF46" s="630"/>
      <c r="AG46" s="630"/>
      <c r="AH46" s="630"/>
      <c r="AI46" s="979"/>
      <c r="AJ46" s="979"/>
      <c r="AK46" s="979"/>
      <c r="AL46" s="979"/>
      <c r="AM46" s="979"/>
      <c r="AN46" s="979"/>
      <c r="AO46" s="979"/>
      <c r="AP46" s="979"/>
      <c r="AQ46" s="979"/>
      <c r="AR46" s="979"/>
      <c r="AS46" s="979"/>
      <c r="AT46" s="979"/>
      <c r="AU46" s="979"/>
      <c r="AV46" s="979"/>
      <c r="AW46" s="979"/>
      <c r="AX46" s="978">
        <v>7</v>
      </c>
      <c r="AY46" s="978"/>
      <c r="AZ46" s="978"/>
      <c r="BA46" s="621"/>
      <c r="BB46" s="584"/>
      <c r="BC46" s="91"/>
    </row>
    <row r="47" spans="1:55" s="46" customFormat="1" ht="12.9"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79"/>
      <c r="AJ47" s="979"/>
      <c r="AK47" s="979"/>
      <c r="AL47" s="979"/>
      <c r="AM47" s="979"/>
      <c r="AN47" s="979"/>
      <c r="AO47" s="979"/>
      <c r="AP47" s="979"/>
      <c r="AQ47" s="979"/>
      <c r="AR47" s="979"/>
      <c r="AS47" s="979"/>
      <c r="AT47" s="979"/>
      <c r="AU47" s="979"/>
      <c r="AV47" s="979"/>
      <c r="AW47" s="979"/>
      <c r="AX47" s="635"/>
      <c r="AY47" s="635"/>
      <c r="AZ47" s="635"/>
      <c r="BA47" s="621"/>
      <c r="BB47" s="584"/>
      <c r="BC47" s="91"/>
    </row>
    <row r="48" spans="1:55" s="46" customFormat="1" ht="12.9"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6" t="s">
        <v>1254</v>
      </c>
      <c r="AE48" s="976"/>
      <c r="AF48" s="976"/>
      <c r="AG48" s="976"/>
      <c r="AH48" s="976"/>
      <c r="AI48" s="976"/>
      <c r="AJ48" s="976"/>
      <c r="AK48" s="976"/>
      <c r="AL48" s="976"/>
      <c r="AM48" s="976"/>
      <c r="AN48" s="976"/>
      <c r="AO48" s="976"/>
      <c r="AP48" s="976"/>
      <c r="AQ48" s="976"/>
      <c r="AR48" s="976"/>
      <c r="AS48" s="976"/>
      <c r="AT48" s="976"/>
      <c r="AU48" s="976"/>
      <c r="AV48" s="976"/>
      <c r="AW48" s="976"/>
      <c r="AX48" s="975" t="s">
        <v>934</v>
      </c>
      <c r="AY48" s="975"/>
      <c r="AZ48" s="975"/>
      <c r="BA48" s="621"/>
      <c r="BB48" s="584"/>
      <c r="BC48" s="91"/>
    </row>
    <row r="49" spans="1:55" s="46" customFormat="1" ht="12.9"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6"/>
      <c r="AE49" s="976"/>
      <c r="AF49" s="976"/>
      <c r="AG49" s="976"/>
      <c r="AH49" s="976"/>
      <c r="AI49" s="976"/>
      <c r="AJ49" s="976"/>
      <c r="AK49" s="976"/>
      <c r="AL49" s="976"/>
      <c r="AM49" s="976"/>
      <c r="AN49" s="976"/>
      <c r="AO49" s="976"/>
      <c r="AP49" s="976"/>
      <c r="AQ49" s="976"/>
      <c r="AR49" s="976"/>
      <c r="AS49" s="976"/>
      <c r="AT49" s="976"/>
      <c r="AU49" s="976"/>
      <c r="AV49" s="976"/>
      <c r="AW49" s="976"/>
      <c r="AX49" s="975"/>
      <c r="AY49" s="975"/>
      <c r="AZ49" s="975"/>
      <c r="BA49" s="621"/>
      <c r="BB49" s="584"/>
      <c r="BC49" s="91"/>
    </row>
    <row r="50" spans="1:55" s="46" customFormat="1" ht="12.9"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6"/>
      <c r="AE50" s="976"/>
      <c r="AF50" s="976"/>
      <c r="AG50" s="976"/>
      <c r="AH50" s="976"/>
      <c r="AI50" s="976"/>
      <c r="AJ50" s="976"/>
      <c r="AK50" s="976"/>
      <c r="AL50" s="976"/>
      <c r="AM50" s="976"/>
      <c r="AN50" s="976"/>
      <c r="AO50" s="976"/>
      <c r="AP50" s="976"/>
      <c r="AQ50" s="976"/>
      <c r="AR50" s="976"/>
      <c r="AS50" s="976"/>
      <c r="AT50" s="976"/>
      <c r="AU50" s="976"/>
      <c r="AV50" s="976"/>
      <c r="AW50" s="976"/>
      <c r="AX50" s="975"/>
      <c r="AY50" s="975"/>
      <c r="AZ50" s="975"/>
      <c r="BA50" s="621"/>
      <c r="BB50" s="584"/>
      <c r="BC50" s="91"/>
    </row>
    <row r="51" spans="1:55" s="46" customFormat="1" ht="12.9"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6"/>
      <c r="AE51" s="976"/>
      <c r="AF51" s="976"/>
      <c r="AG51" s="976"/>
      <c r="AH51" s="976"/>
      <c r="AI51" s="976"/>
      <c r="AJ51" s="976"/>
      <c r="AK51" s="976"/>
      <c r="AL51" s="976"/>
      <c r="AM51" s="976"/>
      <c r="AN51" s="976"/>
      <c r="AO51" s="976"/>
      <c r="AP51" s="976"/>
      <c r="AQ51" s="976"/>
      <c r="AR51" s="976"/>
      <c r="AS51" s="976"/>
      <c r="AT51" s="976"/>
      <c r="AU51" s="976"/>
      <c r="AV51" s="976"/>
      <c r="AW51" s="976"/>
      <c r="AX51" s="975"/>
      <c r="AY51" s="975"/>
      <c r="AZ51" s="975"/>
      <c r="BA51" s="621"/>
      <c r="BB51" s="584"/>
      <c r="BC51" s="91"/>
    </row>
    <row r="52" spans="1:55" s="46" customFormat="1" ht="12.9"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6"/>
      <c r="AE52" s="976"/>
      <c r="AF52" s="976"/>
      <c r="AG52" s="976"/>
      <c r="AH52" s="976"/>
      <c r="AI52" s="976"/>
      <c r="AJ52" s="976"/>
      <c r="AK52" s="976"/>
      <c r="AL52" s="976"/>
      <c r="AM52" s="976"/>
      <c r="AN52" s="976"/>
      <c r="AO52" s="976"/>
      <c r="AP52" s="976"/>
      <c r="AQ52" s="976"/>
      <c r="AR52" s="976"/>
      <c r="AS52" s="976"/>
      <c r="AT52" s="976"/>
      <c r="AU52" s="976"/>
      <c r="AV52" s="976"/>
      <c r="AW52" s="976"/>
      <c r="AX52" s="975"/>
      <c r="AY52" s="975"/>
      <c r="AZ52" s="975"/>
      <c r="BA52" s="158"/>
      <c r="BB52" s="584"/>
      <c r="BC52" s="91"/>
    </row>
    <row r="53" spans="1:55" s="46" customFormat="1" ht="12.9"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8"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O76" sqref="O76:P76"/>
    </sheetView>
  </sheetViews>
  <sheetFormatPr defaultColWidth="1.109375" defaultRowHeight="13.2" zeroHeight="1"/>
  <cols>
    <col min="1" max="1" width="1.109375" style="46" customWidth="1"/>
    <col min="2" max="2" width="8.33203125" style="567" customWidth="1"/>
    <col min="3" max="3" width="46.109375" style="46" customWidth="1"/>
    <col min="4" max="4" width="3.109375" style="46" customWidth="1"/>
    <col min="5" max="5" width="3.109375" style="518"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55" t="s">
        <v>1192</v>
      </c>
      <c r="C2" s="1056"/>
      <c r="D2" s="1056"/>
      <c r="E2" s="1056"/>
      <c r="F2" s="1056"/>
      <c r="G2" s="1056"/>
      <c r="H2" s="1056"/>
      <c r="I2" s="1056"/>
      <c r="J2" s="1056"/>
      <c r="K2" s="1056"/>
      <c r="L2" s="1056"/>
      <c r="M2" s="1056"/>
      <c r="N2" s="1056"/>
      <c r="O2" s="1056"/>
      <c r="P2" s="1056"/>
      <c r="Q2" s="1056"/>
      <c r="R2" s="1056"/>
      <c r="S2" s="1056"/>
      <c r="T2" s="1056"/>
      <c r="U2" s="1057"/>
      <c r="V2" s="91"/>
    </row>
    <row r="3" spans="1:33" ht="8.25" customHeight="1">
      <c r="A3" s="91"/>
      <c r="B3" s="561"/>
      <c r="C3" s="254"/>
      <c r="D3" s="53"/>
      <c r="E3" s="512"/>
      <c r="F3" s="255"/>
      <c r="G3" s="53"/>
      <c r="U3" s="256"/>
      <c r="V3" s="91"/>
    </row>
    <row r="4" spans="1:33">
      <c r="A4" s="91"/>
      <c r="B4" s="561"/>
      <c r="C4" s="257" t="s">
        <v>64</v>
      </c>
      <c r="D4" s="1059" t="str">
        <f>IF(ISBLANK('Start Page'!AB9),"&lt;&lt; Please enter system details on the Start Page &gt;&gt;",'Start Page'!AB9&amp;IF(ISBLANK('Start Page'!AM28),"","  ("&amp;'Start Page'!AM28&amp;")"))</f>
        <v>PAW - 840 McEwensville</v>
      </c>
      <c r="E4" s="1060"/>
      <c r="F4" s="1060"/>
      <c r="G4" s="1060"/>
      <c r="H4" s="1061"/>
      <c r="I4" s="1061"/>
      <c r="J4" s="1061"/>
      <c r="K4" s="1061"/>
      <c r="L4" s="1061"/>
      <c r="M4" s="1061"/>
      <c r="N4" s="1061"/>
      <c r="O4" s="1061"/>
      <c r="P4" s="1062"/>
      <c r="U4" s="256"/>
      <c r="V4" s="91"/>
    </row>
    <row r="5" spans="1:33">
      <c r="A5" s="91"/>
      <c r="B5" s="561"/>
      <c r="C5" s="257" t="s">
        <v>714</v>
      </c>
      <c r="D5" s="1072">
        <f>IF(ISBLANK('Start Page'!AB18),"",'Start Page'!AB18)</f>
        <v>2025</v>
      </c>
      <c r="E5" s="1073"/>
      <c r="F5" s="1073"/>
      <c r="G5" s="1074"/>
      <c r="H5" s="1066" t="str">
        <f>IF(ISBLANK('Start Page'!AB20),"",TEXT('Start Page'!AB20,"mmm dd yyyy")&amp;" - "&amp;TEXT('Start Page'!AB21,"mmm dd yyyy"))</f>
        <v>Jan 01 2025 - Dec 31 2025</v>
      </c>
      <c r="I5" s="1067"/>
      <c r="J5" s="1068"/>
      <c r="K5" s="1070" t="str">
        <f>IF(ISBLANK('Start Page'!AB19),"",'Start Page'!AB19)</f>
        <v>Calendar</v>
      </c>
      <c r="L5" s="1067"/>
      <c r="M5" s="1067"/>
      <c r="N5" s="1067"/>
      <c r="O5" s="1067"/>
      <c r="P5" s="1071"/>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28" t="s">
        <v>1211</v>
      </c>
      <c r="R8" s="102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65"/>
      <c r="V9" s="91"/>
    </row>
    <row r="10" spans="1:33" ht="3" hidden="1" customHeight="1">
      <c r="A10" s="91"/>
      <c r="B10" s="260"/>
      <c r="D10" s="53"/>
      <c r="E10" s="512"/>
      <c r="F10" s="255"/>
      <c r="G10" s="53"/>
      <c r="S10" s="490"/>
      <c r="T10" s="490"/>
      <c r="U10" s="1065"/>
      <c r="V10" s="91"/>
    </row>
    <row r="11" spans="1:33" ht="3" hidden="1" customHeight="1">
      <c r="A11" s="91"/>
      <c r="B11" s="260"/>
      <c r="D11" s="53"/>
      <c r="E11" s="512"/>
      <c r="F11" s="255"/>
      <c r="G11" s="53"/>
      <c r="S11" s="490"/>
      <c r="T11" s="490"/>
      <c r="U11" s="1065"/>
      <c r="V11" s="91"/>
    </row>
    <row r="12" spans="1:33" ht="15.6" customHeight="1" thickBot="1">
      <c r="A12" s="91"/>
      <c r="B12" s="260"/>
      <c r="C12" s="99"/>
      <c r="D12" s="99"/>
      <c r="E12" s="513"/>
      <c r="F12" s="99"/>
      <c r="G12" s="99"/>
      <c r="H12" s="99"/>
      <c r="I12" s="99"/>
      <c r="J12" s="259"/>
      <c r="K12" s="1069" t="s">
        <v>712</v>
      </c>
      <c r="L12" s="1069"/>
      <c r="M12" s="1069"/>
      <c r="N12" s="1069"/>
      <c r="O12" s="1069"/>
      <c r="P12" s="1069"/>
      <c r="Q12" s="1069"/>
      <c r="R12" s="1069"/>
      <c r="S12" s="1069"/>
      <c r="T12" s="1069"/>
      <c r="U12" s="1065"/>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65"/>
      <c r="V13" s="91"/>
      <c r="W13" s="140" t="s">
        <v>138</v>
      </c>
      <c r="X13" s="141"/>
      <c r="Y13" s="142" t="s">
        <v>132</v>
      </c>
      <c r="Z13" s="143" t="s">
        <v>131</v>
      </c>
      <c r="AA13" s="158" t="s">
        <v>1200</v>
      </c>
      <c r="AB13" s="266" t="s">
        <v>901</v>
      </c>
      <c r="AC13" s="266" t="s">
        <v>895</v>
      </c>
      <c r="AD13" s="266" t="s">
        <v>898</v>
      </c>
      <c r="AE13" s="266" t="s">
        <v>898</v>
      </c>
      <c r="AG13" s="265" t="s">
        <v>1201</v>
      </c>
    </row>
    <row r="14" spans="1:33" ht="7.95"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6.2439999999999998</v>
      </c>
      <c r="I15" s="269"/>
      <c r="J15" s="270" t="str">
        <f>IF('Start Page'!$AB$22="million gallons (US)","MG/Yr",IF('Start Page'!$AB$22="Megalitres (thousand cubic metres)","ML/Yr",IF('Start Page'!$AB$22="acre-feet","Acre-ft/Yr","")))</f>
        <v>MG/Yr</v>
      </c>
      <c r="K15" s="844" t="s">
        <v>881</v>
      </c>
      <c r="L15" s="607" t="s">
        <v>882</v>
      </c>
      <c r="M15" s="492">
        <f>'Interactive Data Grading'!D43</f>
        <v>10</v>
      </c>
      <c r="N15" s="270"/>
      <c r="O15" s="487">
        <v>2E-3</v>
      </c>
      <c r="P15" s="580" t="s">
        <v>787</v>
      </c>
      <c r="Q15" s="1033"/>
      <c r="R15" s="1063"/>
      <c r="S15" s="491" t="str">
        <f>IF('Start Page'!$AB$22="million gallons (US)","MG/Yr",IF('Start Page'!$AB$22="Megalitres (thousand cubic metres)","ML/Yr",IF('Start Page'!$AB$22="acre-feet","acre-ft/yr","")))</f>
        <v>MG/Yr</v>
      </c>
      <c r="T15" s="581" t="s">
        <v>1266</v>
      </c>
      <c r="U15" s="559" t="s">
        <v>921</v>
      </c>
      <c r="V15" s="91"/>
      <c r="W15" s="484">
        <f>IF(P15="percent",1,2)</f>
        <v>1</v>
      </c>
      <c r="X15" s="102">
        <f>IF(H15&gt;0,IF(W15=1,O15*H15,Q15),0)</f>
        <v>1.2487999999999999E-2</v>
      </c>
      <c r="Y15" s="103">
        <f>$Y$19/$Y$18*H15</f>
        <v>34.930139720558877</v>
      </c>
      <c r="Z15" s="147">
        <f>$Y$19/$Y$18*ABS(X15)</f>
        <v>6.9860279441117751E-2</v>
      </c>
      <c r="AA15" s="896">
        <f>IF(W15=1,input_VOS-input_VOS/(1+O15*AB15),Q15*AB15)</f>
        <v>-1.2513026052103804E-2</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6.2565130260521036</v>
      </c>
    </row>
    <row r="16" spans="1:33">
      <c r="A16" s="91"/>
      <c r="B16" s="562" t="s">
        <v>908</v>
      </c>
      <c r="C16" s="529" t="s">
        <v>40</v>
      </c>
      <c r="D16" s="841" t="s">
        <v>881</v>
      </c>
      <c r="E16" s="577" t="s">
        <v>882</v>
      </c>
      <c r="F16" s="492" t="str">
        <f>'Interactive Data Grading'!D74</f>
        <v>n/a</v>
      </c>
      <c r="G16" s="94"/>
      <c r="H16" s="532">
        <v>0</v>
      </c>
      <c r="I16" s="269"/>
      <c r="J16" s="270" t="str">
        <f>IF('Start Page'!$AB$22="million gallons (US)","MG/Yr",IF('Start Page'!$AB$22="Megalitres (thousand cubic metres)","ML/Yr",IF('Start Page'!$AB$22="acre-feet","Acre-ft/Yr","")))</f>
        <v>MG/Yr</v>
      </c>
      <c r="K16" s="844" t="s">
        <v>881</v>
      </c>
      <c r="L16" s="607" t="s">
        <v>882</v>
      </c>
      <c r="M16" s="492" t="str">
        <f>'Interactive Data Grading'!D96</f>
        <v>n/a</v>
      </c>
      <c r="N16" s="270"/>
      <c r="O16" s="487"/>
      <c r="P16" s="580" t="s">
        <v>787</v>
      </c>
      <c r="Q16" s="1033"/>
      <c r="R16" s="1063"/>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t="str">
        <f>'Interactive Data Grading'!D127</f>
        <v>n/a</v>
      </c>
      <c r="G17" s="94"/>
      <c r="H17" s="321">
        <v>0</v>
      </c>
      <c r="I17" s="269"/>
      <c r="J17" s="270" t="str">
        <f>IF('Start Page'!$AB$22="million gallons (US)","MG/Yr",IF('Start Page'!$AB$22="Megalitres (thousand cubic metres)","ML/Yr",IF('Start Page'!$AB$22="acre-feet","Acre-ft/Yr","")))</f>
        <v>MG/Yr</v>
      </c>
      <c r="K17" s="844" t="s">
        <v>881</v>
      </c>
      <c r="L17" s="607" t="s">
        <v>882</v>
      </c>
      <c r="M17" s="492" t="str">
        <f>'Interactive Data Grading'!D150</f>
        <v>n/a</v>
      </c>
      <c r="N17" s="270"/>
      <c r="O17" s="487"/>
      <c r="P17" s="580" t="s">
        <v>787</v>
      </c>
      <c r="Q17" s="1033"/>
      <c r="R17" s="1063"/>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 customHeight="1">
      <c r="A18" s="91"/>
      <c r="B18" s="561"/>
      <c r="E18" s="46"/>
      <c r="F18" s="46"/>
      <c r="G18" s="94"/>
      <c r="H18" s="497"/>
      <c r="I18" s="269"/>
      <c r="J18" s="264"/>
      <c r="K18" s="264"/>
      <c r="L18" s="264"/>
      <c r="M18" s="158"/>
      <c r="N18" s="264"/>
      <c r="O18" s="158"/>
      <c r="P18" s="266"/>
      <c r="T18" s="1032" t="s">
        <v>789</v>
      </c>
      <c r="U18" s="558"/>
      <c r="V18" s="91"/>
      <c r="W18" s="144"/>
      <c r="X18" s="104"/>
      <c r="Y18" s="103">
        <f>H15+H16+H17+IF(H15&gt;0,ABS(X15),0)+IF(H16&gt;0,ABS(X16),0)+IF(H17&gt;0,(ABS(X17)),)</f>
        <v>6.256488</v>
      </c>
      <c r="Z18" s="148"/>
      <c r="AF18" s="264">
        <f>SUM(AF15:AF17)</f>
        <v>0</v>
      </c>
      <c r="AG18" s="46" t="s">
        <v>1199</v>
      </c>
    </row>
    <row r="19" spans="1:33" ht="13.8" thickBot="1">
      <c r="A19" s="91"/>
      <c r="B19" s="561"/>
      <c r="C19" s="1036" t="s">
        <v>109</v>
      </c>
      <c r="D19" s="1036"/>
      <c r="E19" s="1036"/>
      <c r="F19" s="1036"/>
      <c r="G19" s="265"/>
      <c r="H19" s="868">
        <f>IF(AF18&gt;0,"Select under/over",IF(H15&gt;0,IF(W15=1,H15/(1+O15*AB15),H15-Q15*AB15),0)+IF(H16&gt;0,IF(W16=1,H16/(1+O16*AB16),H16-Q16*AB16),0)-IF(H17&gt;0,IF(W17=1,H17/(1+O17*AB17),H17-Q17*AB17),0))</f>
        <v>6.2565130260521036</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32"/>
      <c r="U19" s="261"/>
      <c r="V19" s="91"/>
      <c r="W19" s="149"/>
      <c r="X19" s="150"/>
      <c r="Y19" s="150">
        <f>'M36 Refs'!AE121</f>
        <v>35</v>
      </c>
      <c r="Z19" s="151" t="s">
        <v>133</v>
      </c>
    </row>
    <row r="20" spans="1:33" ht="5.25" customHeight="1">
      <c r="A20" s="91"/>
      <c r="B20" s="561"/>
      <c r="C20" s="94"/>
      <c r="D20" s="94"/>
      <c r="E20" s="515"/>
      <c r="F20" s="271"/>
      <c r="G20" s="94"/>
      <c r="O20" s="264"/>
      <c r="P20" s="264"/>
      <c r="Q20" s="264"/>
      <c r="T20" s="1032"/>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32"/>
      <c r="U21" s="256"/>
      <c r="V21" s="91"/>
    </row>
    <row r="22" spans="1:33" ht="13.8" thickBot="1">
      <c r="A22" s="91"/>
      <c r="B22" s="561"/>
      <c r="C22" s="53" t="s">
        <v>111</v>
      </c>
      <c r="D22" s="512"/>
      <c r="E22" s="512"/>
      <c r="F22" s="273"/>
      <c r="G22" s="53"/>
      <c r="H22" s="53"/>
      <c r="I22" s="53"/>
      <c r="J22" s="53"/>
      <c r="K22" s="53"/>
      <c r="L22" s="53"/>
      <c r="M22" s="53"/>
      <c r="N22" s="53"/>
      <c r="O22" s="53"/>
      <c r="P22" s="53"/>
      <c r="Q22" s="53"/>
      <c r="R22" s="53"/>
      <c r="S22" s="53"/>
      <c r="T22" s="1032"/>
      <c r="U22" s="256"/>
      <c r="V22" s="91"/>
    </row>
    <row r="23" spans="1:33">
      <c r="A23" s="91"/>
      <c r="B23" s="562" t="s">
        <v>910</v>
      </c>
      <c r="C23" s="529" t="s">
        <v>481</v>
      </c>
      <c r="D23" s="841" t="s">
        <v>881</v>
      </c>
      <c r="E23" s="577" t="s">
        <v>882</v>
      </c>
      <c r="F23" s="492">
        <f>'Interactive Data Grading'!D177</f>
        <v>9</v>
      </c>
      <c r="G23" s="94"/>
      <c r="H23" s="321">
        <v>4.3600000000000003</v>
      </c>
      <c r="I23" s="269"/>
      <c r="J23" s="270" t="str">
        <f>IF('Start Page'!$AB$22="million gallons (US)","MG/Yr",IF('Start Page'!$AB$22="Megalitres (thousand cubic metres)","ML/Yr",IF('Start Page'!$AB$22="acre-feet","Acre-ft/Yr","")))</f>
        <v>MG/Yr</v>
      </c>
      <c r="K23" s="270"/>
      <c r="L23" s="270"/>
      <c r="M23" s="270"/>
      <c r="N23" s="270"/>
      <c r="T23" s="1032"/>
      <c r="U23" s="256"/>
      <c r="V23" s="91"/>
      <c r="W23" s="152"/>
      <c r="X23" s="141"/>
      <c r="Y23" s="153">
        <f>IFERROR($Y$26/$Y$25*H23,7)</f>
        <v>13.980760421438386</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1.9239578561612458E-2</v>
      </c>
      <c r="Z24" s="146"/>
    </row>
    <row r="25" spans="1:33" ht="13.35" customHeight="1">
      <c r="A25" s="91"/>
      <c r="B25" s="562" t="s">
        <v>919</v>
      </c>
      <c r="C25" s="529" t="s">
        <v>483</v>
      </c>
      <c r="D25" s="841" t="s">
        <v>881</v>
      </c>
      <c r="E25" s="577" t="s">
        <v>882</v>
      </c>
      <c r="F25" s="492">
        <f>'Interactive Data Grading'!D224</f>
        <v>10</v>
      </c>
      <c r="G25" s="94"/>
      <c r="H25" s="501">
        <v>6.0000000000000001E-3</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4.3660000000000005</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2.4E-2</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2.4E-2</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0" t="s">
        <v>108</v>
      </c>
      <c r="D30" s="1030"/>
      <c r="E30" s="1030"/>
      <c r="F30" s="1030"/>
      <c r="G30" s="265"/>
      <c r="H30" s="868">
        <f>SUM(H23:H26)</f>
        <v>4.3900000000000006</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64" t="str">
        <f>IF(AND(H30&gt;=H19,(H30&lt;&gt;0)),"               Check input values; WATER SUPPLIED should be greater than AUTHORIZED CONSUMPTION","")</f>
        <v/>
      </c>
      <c r="D32" s="1064"/>
      <c r="E32" s="1064"/>
      <c r="F32" s="1064"/>
      <c r="G32" s="1064"/>
      <c r="H32" s="1064"/>
      <c r="I32" s="1064"/>
      <c r="J32" s="1064"/>
      <c r="K32" s="1064"/>
      <c r="L32" s="1064"/>
      <c r="M32" s="1064"/>
      <c r="N32" s="1064"/>
      <c r="O32" s="1064"/>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1.866513026052103</v>
      </c>
      <c r="J35" s="270" t="str">
        <f>IF('Start Page'!$AB$22="million gallons (US)","MG/Yr",IF('Start Page'!$AB$22="Megalitres (thousand cubic metres)","ML/Yr",IF('Start Page'!$AB$22="acre-feet","Acre-ft/Yr","")))</f>
        <v>MG/Yr</v>
      </c>
      <c r="K35" s="270"/>
      <c r="L35" s="270"/>
      <c r="M35" s="270"/>
      <c r="N35" s="270"/>
      <c r="P35" s="1058"/>
      <c r="U35" s="256"/>
      <c r="V35" s="91"/>
    </row>
    <row r="36" spans="1:29" ht="13.35" customHeight="1">
      <c r="A36" s="91"/>
      <c r="B36" s="562"/>
      <c r="C36" s="279"/>
      <c r="D36" s="265"/>
      <c r="E36" s="512"/>
      <c r="F36" s="276"/>
      <c r="G36" s="53"/>
      <c r="P36" s="105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6</v>
      </c>
      <c r="G39" s="204"/>
      <c r="H39" s="499">
        <f>IF(OR(W39=1,AND(W39=2,Q39=0)),O39*SUM(H23:H24),Q39)</f>
        <v>5.0000000000000001E-3</v>
      </c>
      <c r="I39" s="280"/>
      <c r="J39" s="270" t="str">
        <f>IF('Start Page'!$AB$22="million gallons (US)","MG/Yr",IF('Start Page'!$AB$22="Megalitres (thousand cubic metres)","ML/Yr",IF('Start Page'!$AB$22="acre-feet","Acre-ft/Yr","")))</f>
        <v>MG/Yr</v>
      </c>
      <c r="K39" s="270"/>
      <c r="L39" s="270"/>
      <c r="M39" s="270"/>
      <c r="N39" s="270"/>
      <c r="O39" s="493">
        <v>2.5000000000000001E-3</v>
      </c>
      <c r="P39" s="582" t="s">
        <v>835</v>
      </c>
      <c r="Q39" s="1033">
        <v>5.0000000000000001E-3</v>
      </c>
      <c r="R39" s="1033"/>
      <c r="S39" s="491" t="str">
        <f>IF('Start Page'!$AB$22="million gallons (US)","MG/Yr",IF('Start Page'!$AB$22="Megalitres (thousand cubic metres)","ML/Yr",IF('Start Page'!$AB$22="acre-feet","acre-ft/yr","")))</f>
        <v>MG/Yr</v>
      </c>
      <c r="U39" s="256"/>
      <c r="V39" s="91"/>
      <c r="W39" s="486">
        <f>IF(P39="default",1,2)</f>
        <v>2</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8</v>
      </c>
      <c r="G41" s="204"/>
      <c r="H41" s="602">
        <f>IF(OR(T41="Select…..",T41=""),"Select under/over",IF(W41=1,((H23+H25)/(1-(O41*X41)))-(H23+H25),Q41*X41))</f>
        <v>4.4101010101010196E-2</v>
      </c>
      <c r="I41" s="280"/>
      <c r="J41" s="270" t="str">
        <f>IF('Start Page'!$AB$22="million gallons (US)","MG/Yr",IF('Start Page'!$AB$22="Megalitres (thousand cubic metres)","ML/Yr",IF('Start Page'!$AB$22="acre-feet","Acre-ft/Yr","")))</f>
        <v>MG/Yr</v>
      </c>
      <c r="K41" s="270"/>
      <c r="L41" s="270"/>
      <c r="M41" s="270"/>
      <c r="N41" s="270"/>
      <c r="O41" s="530">
        <v>0.01</v>
      </c>
      <c r="P41" s="582" t="s">
        <v>787</v>
      </c>
      <c r="Q41" s="1033"/>
      <c r="R41" s="1033"/>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3</v>
      </c>
      <c r="G43" s="204"/>
      <c r="H43" s="498">
        <f>IF(OR(W43=1,AND(W43=2,Q43=0)),O43*SUM(H23:H24),Q43)</f>
        <v>1.0900000000000002E-2</v>
      </c>
      <c r="I43" s="280"/>
      <c r="J43" s="270" t="str">
        <f>IF('Start Page'!$AB$22="million gallons (US)","MG/Yr",IF('Start Page'!$AB$22="Megalitres (thousand cubic metres)","ML/Yr",IF('Start Page'!$AB$22="acre-feet","Acre-ft/Yr","")))</f>
        <v>MG/Yr</v>
      </c>
      <c r="K43" s="270"/>
      <c r="L43" s="270"/>
      <c r="M43" s="270"/>
      <c r="N43" s="270"/>
      <c r="O43" s="493">
        <v>2.5000000000000001E-3</v>
      </c>
      <c r="P43" s="582" t="s">
        <v>786</v>
      </c>
      <c r="Q43" s="1033"/>
      <c r="R43" s="1033"/>
      <c r="S43" s="491" t="str">
        <f>IF('Start Page'!$AB$22="million gallons (US)","MG/Yr",IF('Start Page'!$AB$22="Megalitres (thousand cubic metres)","ML/Yr",IF('Start Page'!$AB$22="acre-feet","acre-ft/yr","")))</f>
        <v>MG/Yr</v>
      </c>
      <c r="T43" s="489"/>
      <c r="U43" s="256"/>
      <c r="V43" s="91"/>
      <c r="W43" s="486">
        <f>IF(P43="default",1,2)</f>
        <v>1</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58"/>
      <c r="E44" s="158"/>
      <c r="F44" s="158"/>
      <c r="G44" s="158"/>
      <c r="H44" s="158"/>
      <c r="I44" s="158"/>
      <c r="J44" s="282"/>
      <c r="K44" s="282"/>
      <c r="L44" s="282"/>
      <c r="M44" s="270"/>
      <c r="N44" s="270"/>
      <c r="P44" s="269"/>
      <c r="Q44" s="281"/>
      <c r="R44" s="281"/>
      <c r="S44" s="281"/>
      <c r="T44" s="1034"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34"/>
      <c r="U45" s="256"/>
      <c r="V45" s="91"/>
    </row>
    <row r="46" spans="1:29" ht="14.1" customHeight="1">
      <c r="A46" s="91"/>
      <c r="B46" s="562"/>
      <c r="C46" s="1037" t="s">
        <v>42</v>
      </c>
      <c r="D46" s="1037"/>
      <c r="E46" s="1037"/>
      <c r="F46" s="1037"/>
      <c r="G46" s="216"/>
      <c r="H46" s="868">
        <f t="array" ref="H46">SUM(IF(ISNUMBER(H39:H43),H39:H43))</f>
        <v>6.0001010101010194E-2</v>
      </c>
      <c r="I46" s="204"/>
      <c r="J46" s="270" t="str">
        <f>IF('Start Page'!$AB$22="million gallons (US)","MG/Yr",IF('Start Page'!$AB$22="Megalitres (thousand cubic metres)","ML/Yr",IF('Start Page'!$AB$22="acre-feet","Acre-ft/Yr","")))</f>
        <v>MG/Yr</v>
      </c>
      <c r="K46" s="270"/>
      <c r="L46" s="270"/>
      <c r="M46" s="270"/>
      <c r="N46" s="270"/>
      <c r="Q46" s="281"/>
      <c r="R46" s="281"/>
      <c r="T46" s="1034"/>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34"/>
      <c r="U47" s="256"/>
      <c r="V47" s="91"/>
    </row>
    <row r="48" spans="1:29" ht="18" customHeight="1">
      <c r="A48" s="91"/>
      <c r="B48" s="562"/>
      <c r="C48" s="1035" t="str">
        <f>IF(AND(H46&gt;=H35,(H46&lt;&gt;0)),"Check input values; APPARENT LOSSES should be less than WATER LOSSES","")</f>
        <v/>
      </c>
      <c r="D48" s="1035"/>
      <c r="E48" s="1035"/>
      <c r="F48" s="1035"/>
      <c r="G48" s="1035"/>
      <c r="H48" s="1035"/>
      <c r="I48" s="1035"/>
      <c r="J48" s="1035"/>
      <c r="K48" s="1035"/>
      <c r="L48" s="1035"/>
      <c r="M48" s="1035"/>
      <c r="N48" s="1035"/>
      <c r="O48" s="1035"/>
      <c r="Q48" s="281"/>
      <c r="R48" s="281"/>
      <c r="S48" s="488"/>
      <c r="T48" s="1034"/>
      <c r="U48" s="256"/>
      <c r="V48" s="91"/>
      <c r="X48" s="130" t="s">
        <v>270</v>
      </c>
      <c r="Y48" s="131" t="s">
        <v>271</v>
      </c>
      <c r="AA48" s="1031"/>
      <c r="AB48" s="1031"/>
      <c r="AC48" s="1031"/>
    </row>
    <row r="49" spans="1:29" ht="2.25" customHeight="1">
      <c r="A49" s="91"/>
      <c r="B49" s="562"/>
      <c r="C49" s="204"/>
      <c r="D49" s="284"/>
      <c r="E49" s="519"/>
      <c r="F49" s="285"/>
      <c r="G49" s="284"/>
      <c r="I49" s="284"/>
      <c r="J49" s="272"/>
      <c r="K49" s="272"/>
      <c r="L49" s="272"/>
      <c r="M49" s="272"/>
      <c r="N49" s="272"/>
      <c r="O49" s="269"/>
      <c r="Q49" s="281"/>
      <c r="R49" s="281"/>
      <c r="S49" s="281"/>
      <c r="T49" s="1034"/>
      <c r="U49" s="256"/>
      <c r="V49" s="91"/>
      <c r="X49" s="132"/>
      <c r="Y49" s="133"/>
      <c r="AA49" s="1031"/>
      <c r="AB49" s="1031"/>
      <c r="AC49" s="1031"/>
    </row>
    <row r="50" spans="1:29" ht="15" customHeight="1" thickBot="1">
      <c r="A50" s="91"/>
      <c r="B50" s="562"/>
      <c r="C50" s="94" t="s">
        <v>669</v>
      </c>
      <c r="D50" s="284"/>
      <c r="E50" s="519"/>
      <c r="F50" s="283"/>
      <c r="G50" s="284"/>
      <c r="H50" s="101"/>
      <c r="J50" s="101"/>
      <c r="K50" s="101"/>
      <c r="L50" s="101"/>
      <c r="M50" s="286"/>
      <c r="N50" s="101"/>
      <c r="Q50" s="281"/>
      <c r="R50" s="281"/>
      <c r="S50" s="281"/>
      <c r="T50" s="1034"/>
      <c r="U50" s="256"/>
      <c r="V50" s="91"/>
      <c r="X50" s="134">
        <f>IFERROR(IF(W41=1,((H23)/(1-(O41*X41)))-(H23),Q41*H23/(H23+H25)),0)</f>
        <v>4.4040404040403658E-2</v>
      </c>
      <c r="Y50" s="135">
        <f>IFERROR(IF(W41=1,((H25)/(1-(O41*X41)))-(H25),Q41*H25/(H23+H25)),0)</f>
        <v>6.0606060606060476E-5</v>
      </c>
      <c r="Z50" s="923">
        <f>SUM(X50:Y50)</f>
        <v>4.4101010101009717E-2</v>
      </c>
      <c r="AA50" s="1031"/>
      <c r="AB50" s="1031"/>
      <c r="AC50" s="1031"/>
    </row>
    <row r="51" spans="1:29">
      <c r="A51" s="91"/>
      <c r="B51" s="562"/>
      <c r="C51" s="1037" t="s">
        <v>662</v>
      </c>
      <c r="D51" s="1037"/>
      <c r="E51" s="1037"/>
      <c r="F51" s="1037"/>
      <c r="G51" s="869"/>
      <c r="H51" s="868">
        <f>IFERROR(H35-H46,"")</f>
        <v>1.8065120159510928</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704.20606060605451</v>
      </c>
      <c r="Y51" s="940">
        <f>Y50*input_VPC</f>
        <v>7.8178181818181647E-2</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30" t="s">
        <v>107</v>
      </c>
      <c r="D53" s="1030"/>
      <c r="E53" s="1030"/>
      <c r="F53" s="1030"/>
      <c r="G53" s="583"/>
      <c r="H53" s="868">
        <f>IFERROR(H46+H51,"")</f>
        <v>1.866513026052103</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0" t="s">
        <v>72</v>
      </c>
      <c r="D57" s="1030"/>
      <c r="E57" s="1030"/>
      <c r="F57" s="1030"/>
      <c r="G57" s="869"/>
      <c r="H57" s="868">
        <f>IFERROR(H35+H25+H26,"")</f>
        <v>1.896513026052103</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2.7</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164</v>
      </c>
      <c r="I62" s="291"/>
      <c r="J62" s="292"/>
      <c r="K62" s="101"/>
      <c r="L62" s="101"/>
      <c r="M62" s="292" t="s">
        <v>902</v>
      </c>
      <c r="N62" s="101"/>
      <c r="U62" s="256"/>
      <c r="V62" s="91"/>
    </row>
    <row r="63" spans="1:29">
      <c r="A63" s="91"/>
      <c r="B63" s="562"/>
      <c r="C63" s="529" t="s">
        <v>165</v>
      </c>
      <c r="D63" s="53"/>
      <c r="E63" s="512"/>
      <c r="F63" s="273"/>
      <c r="G63" s="53"/>
      <c r="H63" s="500">
        <f>IF(ISERROR(H62/H61),"",H62/H61)</f>
        <v>60.740740740740733</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54" t="s">
        <v>769</v>
      </c>
      <c r="D65" s="1054"/>
      <c r="E65" s="1054"/>
      <c r="F65" s="1054"/>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22.6</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 customHeight="1">
      <c r="A67" s="91"/>
      <c r="B67" s="562"/>
      <c r="C67" s="1038" t="str">
        <f>IF(H65="Yes","Average length of customer service line has been set to zero and a data grading of 10 has been applied","")</f>
        <v/>
      </c>
      <c r="D67" s="1038"/>
      <c r="E67" s="1038"/>
      <c r="F67" s="1038"/>
      <c r="G67" s="1038"/>
      <c r="H67" s="1038"/>
      <c r="I67" s="1038"/>
      <c r="J67" s="1038"/>
      <c r="K67" s="1038"/>
      <c r="L67" s="1038"/>
      <c r="M67" s="1038"/>
      <c r="N67" s="1038"/>
      <c r="O67" s="1038"/>
      <c r="P67" s="294"/>
      <c r="Q67" s="294"/>
      <c r="R67" s="294"/>
      <c r="S67" s="294"/>
      <c r="T67" s="294"/>
      <c r="U67" s="256"/>
      <c r="V67" s="91"/>
      <c r="W67" s="55">
        <f>IF(H65="Yes",0,H66)</f>
        <v>22.6</v>
      </c>
      <c r="X67" s="54" t="s">
        <v>130</v>
      </c>
      <c r="Y67" s="54"/>
      <c r="Z67" s="54"/>
    </row>
    <row r="68" spans="1:26">
      <c r="A68" s="91"/>
      <c r="B68" s="562" t="s">
        <v>915</v>
      </c>
      <c r="C68" s="529" t="s">
        <v>487</v>
      </c>
      <c r="D68" s="841" t="s">
        <v>881</v>
      </c>
      <c r="E68" s="577" t="s">
        <v>882</v>
      </c>
      <c r="F68" s="492">
        <f>'Interactive Data Grading'!D422</f>
        <v>8</v>
      </c>
      <c r="G68" s="53"/>
      <c r="H68" s="325">
        <v>50</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44" t="s">
        <v>71</v>
      </c>
      <c r="K76" s="1045"/>
      <c r="L76" s="1045"/>
      <c r="M76" s="1046"/>
      <c r="O76" s="1047" t="str">
        <f>IF(AND(NOT(ISBLANK(H76)),ISBLANK(J76)),"&lt;----Enter units","")</f>
        <v/>
      </c>
      <c r="P76" s="1047"/>
      <c r="Q76" s="1051" t="s">
        <v>903</v>
      </c>
      <c r="R76" s="1051"/>
      <c r="S76" s="1051"/>
      <c r="U76" s="256"/>
      <c r="V76" s="91"/>
    </row>
    <row r="77" spans="1:26" ht="13.5" customHeight="1">
      <c r="A77" s="91"/>
      <c r="B77" s="562" t="s">
        <v>913</v>
      </c>
      <c r="C77" s="529" t="s">
        <v>925</v>
      </c>
      <c r="D77" s="841" t="s">
        <v>881</v>
      </c>
      <c r="E77" s="577" t="s">
        <v>882</v>
      </c>
      <c r="F77" s="492">
        <f>'Interactive Data Grading'!D469</f>
        <v>10</v>
      </c>
      <c r="H77" s="326">
        <v>1289.94</v>
      </c>
      <c r="J77" s="270" t="str">
        <f>"$/"&amp;IF('Start Page'!$AB$22="million gallons (US)","Million gallons",IF('Start Page'!$AB$22="Megalitres (thousand cubic metres)","Megalitre",IF('Start Page'!$AB$22="acre-feet","acre-ft","")))</f>
        <v>$/Million gallons</v>
      </c>
      <c r="K77" s="1052" t="str">
        <f>IF(Z77=1,"&lt;&lt;&lt; Using CRUC as basis for VPC","")</f>
        <v/>
      </c>
      <c r="L77" s="1052"/>
      <c r="M77" s="1052"/>
      <c r="N77" s="1052"/>
      <c r="O77" s="1052"/>
      <c r="P77" s="1053"/>
      <c r="Q77" s="1048">
        <v>51648</v>
      </c>
      <c r="R77" s="1049"/>
      <c r="S77" s="1050"/>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9" t="str">
        <f>IF(OR(ISBLANK(J76),ISBLANK(J77),ISBLANK(H77),ISBLANK('Start Page'!AB22)),"",IF(H76*INDEX(Sheet1!B2:D4,MATCH('Start Page'!AB22,Sheet1!A2:A4,0),MATCH(J76,Sheet1!B1:D1,0))/H77&gt;1,"","Retail costs are less than (or equal to) production costs; please review and correct if necessary"))</f>
        <v/>
      </c>
      <c r="D79" s="1039"/>
      <c r="E79" s="1039"/>
      <c r="F79" s="1039"/>
      <c r="G79" s="1039"/>
      <c r="H79" s="1039"/>
      <c r="I79" s="1039"/>
      <c r="J79" s="1039"/>
      <c r="K79" s="1039"/>
      <c r="L79" s="1039"/>
      <c r="M79" s="1039"/>
      <c r="N79" s="1039"/>
      <c r="O79" s="1039"/>
      <c r="P79" s="1039"/>
      <c r="Q79" s="103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4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42"/>
      <c r="E84" s="1042"/>
      <c r="F84" s="1042"/>
      <c r="G84" s="1042"/>
      <c r="H84" s="1042"/>
      <c r="I84" s="1042"/>
      <c r="J84" s="1042"/>
      <c r="K84" s="1042"/>
      <c r="L84" s="1042"/>
      <c r="M84" s="1042"/>
      <c r="N84" s="1042"/>
      <c r="O84" s="1042"/>
      <c r="P84" s="1042"/>
      <c r="Q84" s="1042"/>
      <c r="R84" s="1043"/>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4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40"/>
      <c r="E86" s="1040"/>
      <c r="F86" s="1040"/>
      <c r="G86" s="1040"/>
      <c r="H86" s="1040"/>
      <c r="I86" s="1040"/>
      <c r="J86" s="1040"/>
      <c r="K86" s="1040"/>
      <c r="L86" s="1040"/>
      <c r="M86" s="1040"/>
      <c r="N86" s="1040"/>
      <c r="O86" s="1040"/>
      <c r="P86" s="1040"/>
      <c r="Q86" s="1040"/>
      <c r="R86" s="1040"/>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Unauthorized Consumption (UC)</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Systematic Data Handling Errors (SDHE)</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Billed Metered (BMAC)</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92" activePane="bottomLeft" state="frozen"/>
      <selection activeCell="B15" sqref="B15:F17"/>
      <selection pane="bottomLeft" activeCell="E295" sqref="E295"/>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55" customWidth="1"/>
    <col min="6" max="6" width="1.88671875" style="214" hidden="1" customWidth="1"/>
    <col min="7" max="7" width="4.44140625" style="810" hidden="1" customWidth="1"/>
    <col min="8" max="8" width="10.44140625" style="810" hidden="1" customWidth="1"/>
    <col min="9" max="9" width="12.109375" style="811" hidden="1" customWidth="1"/>
    <col min="10" max="10" width="18.109375" style="810" hidden="1" customWidth="1"/>
    <col min="11" max="18" width="8.88671875" style="810" hidden="1" customWidth="1"/>
    <col min="19" max="19" width="4.5546875" style="214" hidden="1" customWidth="1"/>
    <col min="20" max="26" width="8.88671875" style="214" hidden="1" customWidth="1"/>
    <col min="27" max="16384" width="8.88671875" style="214"/>
  </cols>
  <sheetData>
    <row r="1" spans="1:20" ht="15" customHeight="1">
      <c r="A1" s="611"/>
      <c r="B1" s="907" t="str">
        <f>IF(ISBLANK('Start Page'!AB9),"Enter info on Start Page",'Start Page'!AB9&amp;IF(ISBLANK('Start Page'!AM28),"","  ("&amp;'Start Page'!AM28&amp;")"))</f>
        <v>PAW - 840 McEwensville</v>
      </c>
      <c r="C1" s="611"/>
      <c r="D1" s="612"/>
      <c r="E1" s="892" t="s">
        <v>1157</v>
      </c>
    </row>
    <row r="2" spans="1:20" ht="30.6" customHeight="1">
      <c r="A2" s="468"/>
      <c r="B2" s="891">
        <f>IF(ISBLANK('Start Page'!AB18),"",'Start Page'!AB18)</f>
        <v>2025</v>
      </c>
      <c r="C2" s="468"/>
      <c r="D2" s="468"/>
      <c r="E2" s="1081" t="s">
        <v>1232</v>
      </c>
    </row>
    <row r="3" spans="1:20" ht="38.25" customHeight="1">
      <c r="A3" s="468"/>
      <c r="B3" s="847"/>
      <c r="C3" s="468"/>
      <c r="D3" s="468"/>
      <c r="E3" s="1082"/>
    </row>
    <row r="4" spans="1:20" ht="1.35" customHeight="1"/>
    <row r="5" spans="1:20" s="469" customFormat="1" ht="16.350000000000001" customHeight="1">
      <c r="A5" s="1075" t="s">
        <v>1135</v>
      </c>
      <c r="B5" s="1076"/>
      <c r="C5" s="1077" t="s">
        <v>326</v>
      </c>
      <c r="D5" s="1077"/>
      <c r="E5" s="892" t="s">
        <v>1136</v>
      </c>
      <c r="G5" s="812"/>
      <c r="H5" s="812"/>
      <c r="I5" s="813"/>
      <c r="J5" s="812"/>
      <c r="K5" s="812"/>
      <c r="L5" s="812"/>
      <c r="M5" s="812"/>
      <c r="N5" s="812"/>
      <c r="O5" s="812"/>
      <c r="P5" s="812"/>
      <c r="Q5" s="812"/>
      <c r="R5" s="812"/>
    </row>
    <row r="6" spans="1:20" ht="14.4" customHeight="1">
      <c r="A6" s="215"/>
      <c r="B6" s="215"/>
      <c r="C6" s="1078" t="str">
        <f>IF(OR(AND(D8="Yes",Worksheet!H15&gt;0),AND(D8="No",Worksheet!H15&lt;=0),LEN(D8)=0),"","Inconsistency between Worksheet VOS input and vos.0 response")</f>
        <v/>
      </c>
      <c r="D6" s="1078"/>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t="e">
        <f>VLOOKUP(D63,$P$7:$Q$15,2,FALSE)</f>
        <v>#N/A</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909</v>
      </c>
      <c r="T9" s="214">
        <v>3</v>
      </c>
    </row>
    <row r="10" spans="1:20" ht="64.2" customHeight="1">
      <c r="A10" s="215"/>
      <c r="C10" s="1086" t="s">
        <v>1233</v>
      </c>
      <c r="D10" s="1087"/>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5" customHeight="1">
      <c r="C23" s="568"/>
      <c r="D23" s="568"/>
      <c r="E23" s="848"/>
      <c r="G23" s="822"/>
      <c r="H23" s="822"/>
      <c r="I23" s="823"/>
      <c r="J23" s="822"/>
      <c r="K23" s="822"/>
      <c r="L23" s="822"/>
      <c r="M23" s="822"/>
      <c r="N23" s="822"/>
      <c r="O23" s="822"/>
      <c r="P23" s="822"/>
      <c r="Q23" s="822"/>
      <c r="R23" s="822"/>
    </row>
    <row r="24" spans="1:18" s="470" customFormat="1" ht="8.4"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5" customHeight="1">
      <c r="C26" s="568"/>
      <c r="D26" s="568"/>
      <c r="E26" s="848"/>
      <c r="G26" s="822"/>
      <c r="H26" s="822"/>
      <c r="I26" s="823"/>
      <c r="J26" s="822"/>
      <c r="K26" s="822"/>
      <c r="L26" s="822"/>
      <c r="M26" s="822"/>
      <c r="N26" s="822"/>
      <c r="O26" s="822"/>
      <c r="P26" s="822"/>
      <c r="Q26" s="822"/>
      <c r="R26" s="822"/>
    </row>
    <row r="27" spans="1:18" s="470" customFormat="1" ht="7.95" customHeight="1">
      <c r="C27" s="568"/>
      <c r="D27" s="568"/>
      <c r="E27" s="848"/>
      <c r="G27" s="822"/>
      <c r="H27" s="822"/>
      <c r="I27" s="823"/>
      <c r="J27" s="822"/>
      <c r="K27" s="822"/>
      <c r="L27" s="822"/>
      <c r="M27" s="822"/>
      <c r="N27" s="822"/>
      <c r="O27" s="822"/>
      <c r="P27" s="822"/>
      <c r="Q27" s="822"/>
      <c r="R27" s="822"/>
    </row>
    <row r="28" spans="1:18" s="470" customFormat="1" ht="7.95" customHeight="1">
      <c r="C28" s="568"/>
      <c r="D28" s="568"/>
      <c r="E28" s="848"/>
      <c r="G28" s="822"/>
      <c r="H28" s="822"/>
      <c r="I28" s="823"/>
      <c r="J28" s="822"/>
      <c r="K28" s="822"/>
      <c r="L28" s="822"/>
      <c r="M28" s="822"/>
      <c r="N28" s="822"/>
      <c r="O28" s="822"/>
      <c r="P28" s="822"/>
      <c r="Q28" s="822"/>
      <c r="R28" s="822"/>
    </row>
    <row r="29" spans="1:18" s="470" customFormat="1" ht="7.95" customHeight="1">
      <c r="C29" s="568"/>
      <c r="D29" s="568"/>
      <c r="E29" s="848"/>
      <c r="G29" s="822"/>
      <c r="H29" s="822"/>
      <c r="I29" s="823"/>
      <c r="J29" s="822"/>
      <c r="K29" s="822"/>
      <c r="L29" s="822"/>
      <c r="M29" s="822"/>
      <c r="N29" s="822"/>
      <c r="O29" s="822"/>
      <c r="P29" s="822"/>
      <c r="Q29" s="822"/>
      <c r="R29" s="822"/>
    </row>
    <row r="30" spans="1:18" s="470" customFormat="1" ht="7.95" customHeight="1">
      <c r="C30" s="568"/>
      <c r="D30" s="568"/>
      <c r="E30" s="848"/>
      <c r="G30" s="822"/>
      <c r="H30" s="822"/>
      <c r="I30" s="823"/>
      <c r="J30" s="822"/>
      <c r="K30" s="822"/>
      <c r="L30" s="822"/>
      <c r="M30" s="822"/>
      <c r="N30" s="822"/>
      <c r="O30" s="822"/>
      <c r="P30" s="822"/>
      <c r="Q30" s="822"/>
      <c r="R30" s="822"/>
    </row>
    <row r="31" spans="1:18" s="470" customFormat="1" ht="7.95" customHeight="1">
      <c r="C31" s="568"/>
      <c r="D31" s="568"/>
      <c r="E31" s="848"/>
      <c r="G31" s="822"/>
      <c r="H31" s="822"/>
      <c r="I31" s="823"/>
      <c r="J31" s="822"/>
      <c r="K31" s="822"/>
      <c r="L31" s="822"/>
      <c r="M31" s="822"/>
      <c r="N31" s="822"/>
      <c r="O31" s="822"/>
      <c r="P31" s="822"/>
      <c r="Q31" s="822"/>
      <c r="R31" s="822"/>
    </row>
    <row r="32" spans="1:18" s="470" customFormat="1" ht="8.4" customHeight="1">
      <c r="C32" s="568"/>
      <c r="D32" s="568"/>
      <c r="E32" s="848"/>
      <c r="G32" s="822"/>
      <c r="H32" s="822"/>
      <c r="I32" s="823"/>
      <c r="J32" s="822"/>
      <c r="K32" s="822"/>
      <c r="L32" s="822"/>
      <c r="M32" s="822"/>
      <c r="N32" s="822"/>
      <c r="O32" s="822"/>
      <c r="P32" s="822"/>
      <c r="Q32" s="822"/>
      <c r="R32" s="822"/>
    </row>
    <row r="33" spans="1:18" s="470" customFormat="1" ht="8.4" customHeight="1">
      <c r="C33" s="568"/>
      <c r="D33" s="568"/>
      <c r="E33" s="848"/>
      <c r="G33" s="822"/>
      <c r="H33" s="822"/>
      <c r="I33" s="823"/>
      <c r="J33" s="822"/>
      <c r="K33" s="822"/>
      <c r="L33" s="822"/>
      <c r="M33" s="822"/>
      <c r="N33" s="822"/>
      <c r="O33" s="822"/>
      <c r="P33" s="822"/>
      <c r="Q33" s="822"/>
      <c r="R33" s="822"/>
    </row>
    <row r="34" spans="1:18" s="470" customFormat="1" ht="8.4"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75" t="s">
        <v>1135</v>
      </c>
      <c r="B36" s="1076"/>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260</v>
      </c>
      <c r="E41" s="753" t="str">
        <f t="shared" si="3"/>
        <v/>
      </c>
      <c r="F41" s="327"/>
      <c r="G41" s="824">
        <f t="shared" ref="G41:G42" si="4">IF(LEN(D41)&gt;0,1,0)</f>
        <v>1</v>
      </c>
      <c r="H41" s="818">
        <f>VLOOKUP('Interactive Data Grading'!D41,VOSEA!$E$6:$G$18,3,FALSE)</f>
        <v>10</v>
      </c>
      <c r="I41" s="817"/>
    </row>
    <row r="42" spans="1:18" ht="27.6" customHeight="1">
      <c r="A42" s="215"/>
      <c r="B42" s="555" t="s">
        <v>340</v>
      </c>
      <c r="C42" s="885" t="str">
        <f>VOSEA!B37</f>
        <v>Are the flow accuracy test and/or electronic calibration results included in the VOSEA input in the water audit?</v>
      </c>
      <c r="D42" s="329" t="s">
        <v>336</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10</v>
      </c>
      <c r="E43" s="753"/>
      <c r="F43" s="327"/>
      <c r="G43" s="824">
        <f>MIN(G39:G42)</f>
        <v>1</v>
      </c>
      <c r="H43" s="821">
        <f t="array" ref="H43">MIN(IF(ISNUMBER(H39:H42),H39:H42))</f>
        <v>10</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399999999999999" customHeight="1">
      <c r="C57" s="568"/>
      <c r="D57" s="568"/>
      <c r="E57" s="848"/>
      <c r="G57" s="822"/>
      <c r="H57" s="822"/>
      <c r="I57" s="823"/>
      <c r="J57" s="822"/>
      <c r="K57" s="822"/>
      <c r="L57" s="822"/>
      <c r="M57" s="822"/>
      <c r="N57" s="822"/>
      <c r="O57" s="822"/>
      <c r="P57" s="822"/>
      <c r="Q57" s="822"/>
      <c r="R57" s="822"/>
    </row>
    <row r="58" spans="1:18" s="470" customFormat="1" ht="20.399999999999999" customHeight="1">
      <c r="C58" s="568"/>
      <c r="D58" s="568"/>
      <c r="E58" s="848"/>
      <c r="G58" s="822"/>
      <c r="H58" s="822"/>
      <c r="I58" s="823"/>
      <c r="J58" s="822"/>
      <c r="K58" s="822"/>
      <c r="L58" s="822"/>
      <c r="M58" s="822"/>
      <c r="N58" s="822"/>
      <c r="O58" s="822"/>
      <c r="P58" s="822"/>
      <c r="Q58" s="822"/>
      <c r="R58" s="822"/>
    </row>
    <row r="59" spans="1:18" s="470" customFormat="1" ht="16.350000000000001" customHeight="1">
      <c r="A59" s="1075" t="s">
        <v>1135</v>
      </c>
      <c r="B59" s="1076"/>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78" t="str">
        <f>IF(OR(AND(D62="Yes",Worksheet!H16&gt;0),AND(D62="No",Worksheet!H16&lt;=0),LEN(D62)=0),"","Inconsistency between Worksheet WI input and Wi.0 response")</f>
        <v/>
      </c>
      <c r="D60" s="1078"/>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267</v>
      </c>
      <c r="E62" s="753"/>
      <c r="F62" s="327"/>
      <c r="I62" s="817"/>
      <c r="J62" s="810" t="s">
        <v>791</v>
      </c>
    </row>
    <row r="63" spans="1:18" ht="17.399999999999999" customHeight="1">
      <c r="A63" s="215"/>
      <c r="B63" s="555" t="s">
        <v>345</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79" t="s">
        <v>1234</v>
      </c>
      <c r="D64" s="1080"/>
      <c r="E64" s="753"/>
      <c r="F64" s="327"/>
      <c r="H64" s="818"/>
      <c r="I64" s="819"/>
    </row>
    <row r="65" spans="1:18" ht="18" customHeight="1">
      <c r="A65" s="215"/>
      <c r="B65" s="555" t="s">
        <v>346</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 customHeight="1">
      <c r="A66" s="215"/>
      <c r="B66" s="555" t="s">
        <v>347</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346</v>
      </c>
    </row>
    <row r="67" spans="1:18" ht="18" customHeight="1">
      <c r="A67" s="215"/>
      <c r="B67" s="555" t="s">
        <v>348</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346</v>
      </c>
    </row>
    <row r="68" spans="1:18" ht="16.5" customHeight="1">
      <c r="A68" s="215"/>
      <c r="B68" s="555" t="s">
        <v>349</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399999999999999" customHeight="1">
      <c r="A69" s="215"/>
      <c r="B69" s="555" t="s">
        <v>350</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348</v>
      </c>
    </row>
    <row r="70" spans="1:18" ht="27" customHeight="1">
      <c r="A70" s="215"/>
      <c r="B70" s="555" t="s">
        <v>351</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812</v>
      </c>
    </row>
    <row r="72" spans="1:18" ht="25.5" customHeight="1">
      <c r="A72" s="215"/>
      <c r="B72" s="555" t="s">
        <v>353</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313</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75" t="s">
        <v>1135</v>
      </c>
      <c r="B89" s="1076"/>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361</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360</v>
      </c>
    </row>
    <row r="94" spans="1:18" ht="27.6" customHeight="1">
      <c r="A94" s="215"/>
      <c r="B94" s="555" t="s">
        <v>362</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363</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313</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75" t="s">
        <v>1135</v>
      </c>
      <c r="B112" s="1076"/>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78" t="str">
        <f>IF(OR(AND(D115="Yes",Worksheet!H17&gt;0),AND(D115="No",Worksheet!H17&lt;=0),LEN(D115)=0),"","Inconsistency between Worksheet WE input and we.0 response")</f>
        <v/>
      </c>
      <c r="D113" s="1078"/>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267</v>
      </c>
      <c r="E115" s="753"/>
      <c r="F115" s="327"/>
      <c r="H115" s="810" t="s">
        <v>528</v>
      </c>
      <c r="I115" s="817"/>
      <c r="J115" s="810" t="s">
        <v>791</v>
      </c>
    </row>
    <row r="116" spans="1:18" ht="17.399999999999999" customHeight="1">
      <c r="A116" s="215"/>
      <c r="B116" s="215" t="s">
        <v>379</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2" customHeight="1">
      <c r="A117" s="215"/>
      <c r="C117" s="1079" t="s">
        <v>1235</v>
      </c>
      <c r="D117" s="1080"/>
      <c r="E117" s="753"/>
      <c r="F117" s="327"/>
      <c r="H117" s="818"/>
      <c r="I117" s="819"/>
    </row>
    <row r="118" spans="1:18" ht="18" customHeight="1">
      <c r="A118" s="215"/>
      <c r="B118" s="215" t="s">
        <v>380</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5.95" customHeight="1">
      <c r="A119" s="215"/>
      <c r="B119" s="215" t="s">
        <v>381</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815</v>
      </c>
    </row>
    <row r="120" spans="1:18" ht="18" customHeight="1">
      <c r="A120" s="215"/>
      <c r="B120" s="215" t="s">
        <v>382</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380</v>
      </c>
    </row>
    <row r="121" spans="1:18" ht="16.2" customHeight="1">
      <c r="A121" s="215"/>
      <c r="B121" s="215" t="s">
        <v>383</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19.95" customHeight="1">
      <c r="A122" s="215"/>
      <c r="B122" s="215" t="s">
        <v>384</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382</v>
      </c>
    </row>
    <row r="123" spans="1:18" ht="27" customHeight="1">
      <c r="A123" s="215"/>
      <c r="B123" s="215" t="s">
        <v>385</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817</v>
      </c>
    </row>
    <row r="125" spans="1:18" ht="25.2" customHeight="1">
      <c r="A125" s="215"/>
      <c r="B125" s="215" t="s">
        <v>387</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313</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5" customHeight="1">
      <c r="C141" s="568"/>
      <c r="D141" s="568"/>
      <c r="E141" s="848"/>
      <c r="G141" s="822"/>
      <c r="H141" s="822"/>
      <c r="I141" s="823"/>
      <c r="J141" s="822"/>
      <c r="K141" s="822"/>
      <c r="L141" s="822"/>
      <c r="M141" s="822"/>
      <c r="N141" s="822"/>
      <c r="O141" s="822"/>
      <c r="P141" s="822"/>
      <c r="Q141" s="822"/>
      <c r="R141" s="822"/>
    </row>
    <row r="142" spans="1:18" s="470" customFormat="1" ht="8.4"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75" t="s">
        <v>1135</v>
      </c>
      <c r="B143" s="1076"/>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75" t="s">
        <v>1135</v>
      </c>
      <c r="B166" s="1076"/>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78" t="str">
        <f>IF(OR(AND(D169="Yes",Worksheet!H23&gt;0),AND(D169="No",Worksheet!H23&lt;=0),LEN(D169)=0),"","Inconsistency between Worksheet BMAC input and bmac.0 response")</f>
        <v/>
      </c>
      <c r="D167" s="1078"/>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268</v>
      </c>
      <c r="E171" s="753" t="str">
        <f t="shared" si="13"/>
        <v>Limiting</v>
      </c>
      <c r="F171" s="327"/>
      <c r="G171" s="811">
        <f t="shared" ref="G171:G175" si="14">IF($D$169="No",1,IF(LEN(D171)&gt;0,1,0))</f>
        <v>1</v>
      </c>
      <c r="H171" s="825">
        <f>VLOOKUP('Interactive Data Grading'!D171,BMAC!$D$6:$J$15,7,FALSE)</f>
        <v>9</v>
      </c>
      <c r="I171" s="825">
        <f t="shared" ref="I171:I175" si="15">H171</f>
        <v>9</v>
      </c>
    </row>
    <row r="172" spans="1:18" ht="22.2"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5"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5"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9</v>
      </c>
      <c r="E177" s="753"/>
      <c r="F177" s="327"/>
      <c r="G177" s="811">
        <f>MIN(G170:G176)</f>
        <v>1</v>
      </c>
      <c r="H177" s="821">
        <f>MIN(H169:H176)</f>
        <v>9</v>
      </c>
      <c r="I177" s="821">
        <f t="array" ref="I177">MIN(IF(ISNUMBER(I168:I176),I168:I176))</f>
        <v>9</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75" t="s">
        <v>1135</v>
      </c>
      <c r="B193" s="1076"/>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78" t="str">
        <f>IF(OR(AND(D196="Yes",Worksheet!H24&gt;0),AND(D196="No",Worksheet!H24&lt;=0),LEN(D196)=0),"","Inconsistency between Worksheet BUAC input and buac.0 response")</f>
        <v/>
      </c>
      <c r="D194" s="1078"/>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75" t="s">
        <v>1135</v>
      </c>
      <c r="B216" s="1076"/>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78" t="str">
        <f>IF(OR(AND(D219="Yes",Worksheet!H25&gt;0),AND(D219="No",Worksheet!H25&lt;=0),LEN(D219)=0),"","Inconsistency between Worksheet UMAC input and umac.0 response")</f>
        <v/>
      </c>
      <c r="D217" s="1078"/>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75" t="s">
        <v>1135</v>
      </c>
      <c r="B240" s="1076"/>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84" t="str">
        <f>IF(Worksheet!W26=1,"This Data Grading Criteria is hidden when the 'default' input is used on the Worksheet","")</f>
        <v/>
      </c>
      <c r="D241" s="1084"/>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50000000000003" customHeight="1">
      <c r="C256" s="568"/>
      <c r="D256" s="568"/>
      <c r="E256" s="848"/>
      <c r="G256" s="822"/>
      <c r="H256" s="822"/>
      <c r="I256" s="823"/>
      <c r="J256" s="822"/>
      <c r="K256" s="822"/>
      <c r="L256" s="822"/>
      <c r="M256" s="822"/>
      <c r="N256" s="822"/>
      <c r="O256" s="822"/>
      <c r="P256" s="822"/>
      <c r="Q256" s="822"/>
      <c r="R256" s="822"/>
    </row>
    <row r="257" spans="1:18" s="470" customFormat="1" ht="40.950000000000003" customHeight="1">
      <c r="C257" s="568"/>
      <c r="D257" s="568"/>
      <c r="E257" s="848"/>
      <c r="G257" s="822"/>
      <c r="H257" s="822"/>
      <c r="I257" s="823"/>
      <c r="J257" s="822"/>
      <c r="K257" s="822"/>
      <c r="L257" s="822"/>
      <c r="M257" s="822"/>
      <c r="N257" s="822"/>
      <c r="O257" s="822"/>
      <c r="P257" s="822"/>
      <c r="Q257" s="822"/>
      <c r="R257" s="822"/>
    </row>
    <row r="258" spans="1:18" s="470" customFormat="1" ht="40.950000000000003" customHeight="1">
      <c r="C258" s="568"/>
      <c r="D258" s="568"/>
      <c r="E258" s="848"/>
      <c r="G258" s="822"/>
      <c r="H258" s="822"/>
      <c r="I258" s="823"/>
      <c r="J258" s="822"/>
      <c r="K258" s="822"/>
      <c r="L258" s="822"/>
      <c r="M258" s="822"/>
      <c r="N258" s="822"/>
      <c r="O258" s="822"/>
      <c r="P258" s="822"/>
      <c r="Q258" s="822"/>
      <c r="R258" s="822"/>
    </row>
    <row r="259" spans="1:18" s="470" customFormat="1" ht="40.950000000000003" customHeight="1">
      <c r="C259" s="568"/>
      <c r="D259" s="568"/>
      <c r="E259" s="848"/>
      <c r="G259" s="822"/>
      <c r="H259" s="822"/>
      <c r="I259" s="823"/>
      <c r="J259" s="822"/>
      <c r="K259" s="822"/>
      <c r="L259" s="822"/>
      <c r="M259" s="822"/>
      <c r="N259" s="822"/>
      <c r="O259" s="822"/>
      <c r="P259" s="822"/>
      <c r="Q259" s="822"/>
      <c r="R259" s="822"/>
    </row>
    <row r="260" spans="1:18" s="470" customFormat="1" ht="40.950000000000003"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75" t="s">
        <v>1135</v>
      </c>
      <c r="B263" s="1076"/>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84" t="str">
        <f>IF(Worksheet!W39=1,"This Data Grading Criteria is hidden when the 'default' input is used on the Worksheet","")</f>
        <v/>
      </c>
      <c r="D264" s="1084"/>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A system specific volume has been entered</v>
      </c>
      <c r="F266" s="327"/>
      <c r="H266" s="810" t="s">
        <v>527</v>
      </c>
      <c r="I266" s="817"/>
      <c r="J266" s="810" t="s">
        <v>836</v>
      </c>
    </row>
    <row r="267" spans="1:18" ht="27.6" customHeight="1">
      <c r="A267" s="215"/>
      <c r="B267" s="555" t="s">
        <v>533</v>
      </c>
      <c r="C267" s="884" t="str">
        <f>SDHE!B35</f>
        <v>Which best describes how the input was derived?</v>
      </c>
      <c r="D267" s="331" t="s">
        <v>546</v>
      </c>
      <c r="E267" s="753" t="str">
        <f>IF(OR($D$271=10,$D$271=3),"",IFERROR(IF(H267=MIN($H$267:$H$270),"Limiting",""),""))</f>
        <v/>
      </c>
      <c r="F267" s="327"/>
      <c r="H267" s="818">
        <f>VLOOKUP('Interactive Data Grading'!D267,SDHE!$C$6:$G$15,5,FALSE)</f>
        <v>10</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t="s">
        <v>548</v>
      </c>
      <c r="E268" s="753" t="str">
        <f>IF(OR($D$271=10,$D$271=3),"",IFERROR(IF(H268=MIN($H$267:$H$270),"Limiting",""),""))</f>
        <v/>
      </c>
      <c r="F268" s="327"/>
      <c r="H268" s="818">
        <f>VLOOKUP('Interactive Data Grading'!D268,SDHE!$D$6:$G$15,4,FALSE)</f>
        <v>7</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t="s">
        <v>547</v>
      </c>
      <c r="E269" s="753" t="str">
        <f>IF(OR($D$271=10,$D$271=3),"",IFERROR(IF(H269=MIN($H$267:$H$270),"Limiting",""),""))</f>
        <v/>
      </c>
      <c r="F269" s="327"/>
      <c r="H269" s="818">
        <f>VLOOKUP('Interactive Data Grading'!D269,SDHE!$E$6:$G$15,3,FALSE)</f>
        <v>10</v>
      </c>
      <c r="I269" s="819"/>
    </row>
    <row r="270" spans="1:18" ht="27.6" customHeight="1">
      <c r="A270" s="215"/>
      <c r="B270" s="555" t="s">
        <v>536</v>
      </c>
      <c r="C270" s="884" t="str">
        <f>SDHE!B38</f>
        <v>Which best describes auditing that takes place on the billing process?</v>
      </c>
      <c r="D270" s="331" t="s">
        <v>545</v>
      </c>
      <c r="E270" s="753" t="str">
        <f>IF(OR($D$271=10,$D$271=3),"",IFERROR(IF(H270=MIN($H$267:$H$270),"Limiting",""),""))</f>
        <v>Limiting</v>
      </c>
      <c r="F270" s="327"/>
      <c r="H270" s="818">
        <f>VLOOKUP('Interactive Data Grading'!D270,SDHE!$F$6:$G$15,2,FALSE)</f>
        <v>6</v>
      </c>
      <c r="I270" s="819"/>
      <c r="N270" s="1083"/>
      <c r="O270" s="1083"/>
    </row>
    <row r="271" spans="1:18" ht="27.6" customHeight="1">
      <c r="A271" s="215"/>
      <c r="B271" s="215"/>
      <c r="C271" s="328" t="s">
        <v>313</v>
      </c>
      <c r="D271" s="895">
        <f>IFERROR((IF(D266=SDHE!A3,3,H271)),"")</f>
        <v>6</v>
      </c>
      <c r="E271" s="753"/>
      <c r="F271" s="327"/>
      <c r="H271" s="821">
        <f>MIN(H267:H270)</f>
        <v>6</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5" customHeight="1">
      <c r="C281" s="568"/>
      <c r="D281" s="568"/>
      <c r="E281" s="848"/>
      <c r="G281" s="822"/>
      <c r="H281" s="822"/>
      <c r="I281" s="823"/>
      <c r="J281" s="822"/>
      <c r="K281" s="822"/>
      <c r="L281" s="822"/>
      <c r="M281" s="822"/>
      <c r="N281" s="822"/>
      <c r="O281" s="822"/>
      <c r="P281" s="822"/>
      <c r="Q281" s="822"/>
      <c r="R281" s="822"/>
    </row>
    <row r="282" spans="1:18" s="470" customFormat="1" ht="52.95" customHeight="1">
      <c r="C282" s="568"/>
      <c r="D282" s="568"/>
      <c r="E282" s="848"/>
      <c r="G282" s="822"/>
      <c r="H282" s="822"/>
      <c r="I282" s="823"/>
      <c r="J282" s="822"/>
      <c r="K282" s="822"/>
      <c r="L282" s="822"/>
      <c r="M282" s="822"/>
      <c r="N282" s="822"/>
      <c r="O282" s="822"/>
      <c r="P282" s="822"/>
      <c r="Q282" s="822"/>
      <c r="R282" s="822"/>
    </row>
    <row r="283" spans="1:18" s="470" customFormat="1" ht="52.95"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75" t="s">
        <v>1135</v>
      </c>
      <c r="B287" s="1076"/>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78" t="str">
        <f>IF(OR(AND(D290="Yes",Worksheet!Y25&gt;0),AND(D290="No",Worksheet!Y25&lt;=0),LEN(D290)=0),"","Inconsistency between Worksheet CMI input and cmi.0 response")</f>
        <v/>
      </c>
      <c r="D288" s="1078"/>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962</v>
      </c>
      <c r="E292" s="753" t="str">
        <f t="shared" si="17"/>
        <v/>
      </c>
      <c r="F292" s="327"/>
      <c r="G292" s="810">
        <f t="shared" si="16"/>
        <v>1</v>
      </c>
      <c r="H292" s="818">
        <f>VLOOKUP('Interactive Data Grading'!D292,CMI!$D$6:$J$16,7,FALSE)</f>
        <v>9</v>
      </c>
      <c r="I292" s="818">
        <f>H292</f>
        <v>9</v>
      </c>
      <c r="N292" s="1083"/>
      <c r="O292" s="1083"/>
    </row>
    <row r="293" spans="1:18" ht="29.4" customHeight="1">
      <c r="A293" s="215"/>
      <c r="B293" s="555" t="s">
        <v>524</v>
      </c>
      <c r="C293" s="884" t="str">
        <f>CMI!B37</f>
        <v xml:space="preserve">Which best describes what meters are included in the proactive small size customer meter testing activities? </v>
      </c>
      <c r="D293" s="329" t="s">
        <v>864</v>
      </c>
      <c r="E293" s="753" t="str">
        <f t="shared" si="17"/>
        <v/>
      </c>
      <c r="F293" s="327"/>
      <c r="G293" s="810">
        <f>IF(OR($D$292=CMI!$D$23,$D$292=CMI!$D$24,$D$292=CMI!$D$27),1,IF(LEN(D293)&gt;0,1,0))</f>
        <v>1</v>
      </c>
      <c r="H293" s="818">
        <f>VLOOKUP('Interactive Data Grading'!D293,CMI!$E$6:$J$16,6,FALSE)</f>
        <v>10</v>
      </c>
      <c r="I293" s="818">
        <f>IF(OR(D292=CMI!D23,D292=CMI!D24),X,H293)</f>
        <v>10</v>
      </c>
      <c r="J293" s="810" t="s">
        <v>502</v>
      </c>
    </row>
    <row r="294" spans="1:18" ht="29.4" customHeight="1">
      <c r="A294" s="215"/>
      <c r="B294" s="555" t="s">
        <v>525</v>
      </c>
      <c r="C294" s="884" t="str">
        <f>CMI!B38</f>
        <v>For mid and large size customer meters, which best describes the frequency of the proactive testing program?</v>
      </c>
      <c r="D294" s="329" t="s">
        <v>863</v>
      </c>
      <c r="E294" s="753" t="str">
        <f t="shared" si="17"/>
        <v/>
      </c>
      <c r="F294" s="327"/>
      <c r="G294" s="810">
        <f t="shared" si="16"/>
        <v>1</v>
      </c>
      <c r="H294" s="818">
        <f>VLOOKUP('Interactive Data Grading'!D294,CMI!$F$6:$J$16,5,FALSE)</f>
        <v>10</v>
      </c>
      <c r="I294" s="818">
        <f>H294</f>
        <v>10</v>
      </c>
    </row>
    <row r="295" spans="1:18" ht="29.4" customHeight="1">
      <c r="A295" s="215"/>
      <c r="B295" s="555" t="s">
        <v>503</v>
      </c>
      <c r="C295" s="884" t="str">
        <f>CMI!B39</f>
        <v xml:space="preserve">Which best describes what meters are included in the proactive mid- and large customer meter testing activities? </v>
      </c>
      <c r="D295" s="329" t="s">
        <v>865</v>
      </c>
      <c r="E295" s="753" t="str">
        <f t="shared" si="17"/>
        <v/>
      </c>
      <c r="F295" s="327"/>
      <c r="G295" s="899">
        <f>IF(OR($D$294=CMI!$F$23,$D$294=CMI!F$24),1,IF(LEN(D295)&gt;0,1,0))</f>
        <v>1</v>
      </c>
      <c r="H295" s="818">
        <f>VLOOKUP('Interactive Data Grading'!D295,CMI!$G$6:$J$16,4,FALSE)</f>
        <v>10</v>
      </c>
      <c r="I295" s="818">
        <f>IF(OR(D294=CMI!F23,D294=CMI!F24),X,H295)</f>
        <v>10</v>
      </c>
      <c r="J295" s="810" t="s">
        <v>525</v>
      </c>
    </row>
    <row r="296" spans="1:18" ht="29.4" customHeight="1">
      <c r="A296" s="215"/>
      <c r="B296" s="555" t="s">
        <v>526</v>
      </c>
      <c r="C296" s="884" t="str">
        <f>CMI!B40</f>
        <v>Which best describes how the input was derived?</v>
      </c>
      <c r="D296" s="329" t="s">
        <v>963</v>
      </c>
      <c r="E296" s="753" t="str">
        <f t="shared" si="17"/>
        <v>Limiting</v>
      </c>
      <c r="F296" s="327"/>
      <c r="G296" s="810">
        <f t="shared" si="16"/>
        <v>1</v>
      </c>
      <c r="H296" s="818">
        <f>VLOOKUP('Interactive Data Grading'!D296,CMI!$H$6:$J$16,3,FALSE)</f>
        <v>8</v>
      </c>
      <c r="I296" s="818">
        <f>H296</f>
        <v>8</v>
      </c>
    </row>
    <row r="297" spans="1:18" ht="29.4"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 customHeight="1">
      <c r="A298" s="215"/>
      <c r="B298" s="555" t="s">
        <v>505</v>
      </c>
      <c r="C298" s="884" t="str">
        <f>CMI!B42</f>
        <v>To what extent does meter replacement occur and for which meters?</v>
      </c>
      <c r="D298" s="329" t="s">
        <v>750</v>
      </c>
      <c r="E298" s="753" t="str">
        <f t="shared" si="17"/>
        <v/>
      </c>
      <c r="F298" s="327"/>
      <c r="G298" s="810">
        <f t="shared" si="16"/>
        <v>1</v>
      </c>
      <c r="H298" s="818"/>
      <c r="I298" s="818"/>
      <c r="J298" s="810" t="s">
        <v>752</v>
      </c>
    </row>
    <row r="299" spans="1:18" ht="29.4"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 customHeight="1">
      <c r="A300" s="215"/>
      <c r="B300" s="215"/>
      <c r="C300" s="328" t="s">
        <v>313</v>
      </c>
      <c r="D300" s="757">
        <f>IF(D290="No","n/a",IF(G300=0,"",I300))</f>
        <v>8</v>
      </c>
      <c r="E300" s="753"/>
      <c r="F300" s="327"/>
      <c r="G300" s="810">
        <f>MIN(G290:G299)</f>
        <v>1</v>
      </c>
      <c r="H300" s="821">
        <f t="array" ref="H300">MIN(IF(ISNUMBER(H291:H297),H291:H297))</f>
        <v>8</v>
      </c>
      <c r="I300" s="821">
        <f t="array" ref="I300">MIN(IF(ISNUMBER(I290:I299),I290:I299))</f>
        <v>8</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75" t="s">
        <v>1135</v>
      </c>
      <c r="B316" s="1076"/>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84" t="str">
        <f>IF(Worksheet!W43=1,"This Data Grading Criteria is hidden when the 'default' input is used on the Worksheet","")</f>
        <v>This Data Grading Criteria is hidden when the 'default' input is used on the Worksheet</v>
      </c>
      <c r="D317" s="1084"/>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Default is used because Custom Value is selected but no value has been entered</v>
      </c>
      <c r="E319" s="753"/>
      <c r="F319" s="327"/>
      <c r="I319" s="817"/>
      <c r="J319" s="810" t="s">
        <v>836</v>
      </c>
    </row>
    <row r="320" spans="1:18" ht="27.6" customHeight="1">
      <c r="A320" s="215"/>
      <c r="B320" s="555" t="s">
        <v>488</v>
      </c>
      <c r="C320" s="884" t="str">
        <f>UC!B35</f>
        <v>Which best describes how the input was derived?</v>
      </c>
      <c r="D320" s="331"/>
      <c r="E320" s="753" t="str">
        <f>IF(OR($D$322=10,$D$322=3),"",IFERROR(IF(H320=MIN($H$320:$H$321),"Limiting",""),""))</f>
        <v/>
      </c>
      <c r="F320" s="327"/>
      <c r="H320" s="818" t="e">
        <f>VLOOKUP('Interactive Data Grading'!D320,UC!$C$6:$E$15,3,FALSE)</f>
        <v>#N/A</v>
      </c>
      <c r="I320" s="818"/>
    </row>
    <row r="321" spans="1:18" ht="27.6" customHeight="1">
      <c r="A321" s="215"/>
      <c r="B321" s="555" t="s">
        <v>489</v>
      </c>
      <c r="C321" s="884" t="str">
        <f>UC!B36</f>
        <v>Which best describes the extent of unauthorized consumption tracking and oversight?</v>
      </c>
      <c r="D321" s="331"/>
      <c r="E321" s="753" t="str">
        <f>IF(OR($D$322=10,$D$322=3),"",IFERROR(IF(H321=MIN($H$320:$H$321),"Limiting",""),""))</f>
        <v/>
      </c>
      <c r="F321" s="327"/>
      <c r="H321" s="818" t="e">
        <f>VLOOKUP('Interactive Data Grading'!D321,UC!$D$6:$E$15,2,FALSE)</f>
        <v>#N/A</v>
      </c>
      <c r="I321" s="819"/>
    </row>
    <row r="322" spans="1:18" ht="27.6" customHeight="1">
      <c r="A322" s="215"/>
      <c r="B322" s="215"/>
      <c r="C322" s="328" t="s">
        <v>313</v>
      </c>
      <c r="D322" s="895">
        <f>IFERROR((IF(D319=UC!A3,3,H322)),"")</f>
        <v>3</v>
      </c>
      <c r="E322" s="753"/>
      <c r="F322" s="327"/>
      <c r="H322" s="821" t="e">
        <f>MIN(H320:H321)</f>
        <v>#N/A</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 customHeight="1">
      <c r="C338" s="568"/>
      <c r="D338" s="568"/>
      <c r="E338" s="848"/>
      <c r="G338" s="822"/>
      <c r="H338" s="822"/>
      <c r="I338" s="823"/>
      <c r="J338" s="822"/>
      <c r="K338" s="822"/>
      <c r="L338" s="822"/>
      <c r="M338" s="822"/>
      <c r="N338" s="822"/>
      <c r="O338" s="822"/>
      <c r="P338" s="822"/>
      <c r="Q338" s="822"/>
      <c r="R338" s="822"/>
    </row>
    <row r="339" spans="1:18" s="470" customFormat="1" ht="41.4" customHeight="1">
      <c r="C339" s="568"/>
      <c r="D339" s="568"/>
      <c r="E339" s="848"/>
      <c r="G339" s="822"/>
      <c r="H339" s="822"/>
      <c r="I339" s="823"/>
      <c r="J339" s="822"/>
      <c r="K339" s="822"/>
      <c r="L339" s="822"/>
      <c r="M339" s="822"/>
      <c r="N339" s="822"/>
      <c r="O339" s="822"/>
      <c r="P339" s="822"/>
      <c r="Q339" s="822"/>
      <c r="R339" s="822"/>
    </row>
    <row r="340" spans="1:18" s="470" customFormat="1" ht="41.4"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75" t="s">
        <v>1135</v>
      </c>
      <c r="B343" s="1076"/>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 customHeight="1">
      <c r="C360" s="568"/>
      <c r="D360" s="568"/>
      <c r="E360" s="848"/>
      <c r="G360" s="822"/>
      <c r="H360" s="822"/>
      <c r="I360" s="823"/>
      <c r="J360" s="822"/>
      <c r="K360" s="822"/>
      <c r="L360" s="822"/>
      <c r="M360" s="822"/>
      <c r="N360" s="822"/>
      <c r="O360" s="822"/>
      <c r="P360" s="822"/>
      <c r="Q360" s="822"/>
      <c r="R360" s="822"/>
    </row>
    <row r="361" spans="1:18" s="470" customFormat="1" ht="50.4" customHeight="1">
      <c r="C361" s="568"/>
      <c r="D361" s="568"/>
      <c r="E361" s="848"/>
      <c r="G361" s="822"/>
      <c r="H361" s="822"/>
      <c r="I361" s="823"/>
      <c r="J361" s="822"/>
      <c r="K361" s="822"/>
      <c r="L361" s="822"/>
      <c r="M361" s="822"/>
      <c r="N361" s="822"/>
      <c r="O361" s="822"/>
      <c r="P361" s="822"/>
      <c r="Q361" s="822"/>
      <c r="R361" s="822"/>
    </row>
    <row r="362" spans="1:18" s="470" customFormat="1" ht="50.4"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75" t="s">
        <v>1135</v>
      </c>
      <c r="B366" s="1076"/>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75" t="s">
        <v>1135</v>
      </c>
      <c r="B390" s="1076"/>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75" t="s">
        <v>1135</v>
      </c>
      <c r="B414" s="1076"/>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872</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759</v>
      </c>
      <c r="E419" s="753" t="str">
        <f t="shared" si="25"/>
        <v>Limiting</v>
      </c>
      <c r="F419" s="327"/>
      <c r="G419" s="824">
        <f t="shared" si="26"/>
        <v>1</v>
      </c>
      <c r="H419" s="818">
        <f>VLOOKUP('Interactive Data Grading'!D419,AOP!$E$6:$H$17,4,FALSE)</f>
        <v>8</v>
      </c>
      <c r="I419" s="819">
        <f>H419</f>
        <v>8</v>
      </c>
      <c r="K419" s="848" t="str">
        <f>IFERROR(IF(OR($D$422=10,NOT(ISNUMBER($D$422))),"",IF(I419=$I$422,"Limiting","")),"")</f>
        <v>Limiting</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8</v>
      </c>
      <c r="E422" s="753"/>
      <c r="F422" s="327"/>
      <c r="G422" s="826">
        <f>MIN(G417:G421)</f>
        <v>1</v>
      </c>
      <c r="H422" s="821">
        <f>MIN(H417:H421)</f>
        <v>8</v>
      </c>
      <c r="I422" s="821">
        <f t="array" ref="I422">MIN(IF(ISNUMBER(I417:I421),I417:I421))</f>
        <v>8</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75" t="s">
        <v>1135</v>
      </c>
      <c r="B438" s="1076"/>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5" t="str">
        <f>IF(OR(AND(D441="Yes",Worksheet!H23&gt;0),AND(D441="No",Worksheet!H23&lt;=0),LEN(D441)=0),"","Inconsistency between Worksheet BMAC input and cruc.0 response")</f>
        <v/>
      </c>
      <c r="D439" s="1085"/>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638</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75" t="s">
        <v>1135</v>
      </c>
      <c r="B462" s="1076"/>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877</v>
      </c>
      <c r="E465" s="753" t="str">
        <f>IF($D$469=10,"",IFERROR(IF(H465=MIN($H$465:$H$468),"Limiting",""),""))</f>
        <v/>
      </c>
      <c r="F465" s="327"/>
      <c r="H465" s="818">
        <f>VLOOKUP('Interactive Data Grading'!D465,VPC!$C$6:$G$18,5,FALSE)</f>
        <v>10</v>
      </c>
      <c r="I465" s="819">
        <f>H465</f>
        <v>10</v>
      </c>
      <c r="J465" s="831" t="s">
        <v>653</v>
      </c>
    </row>
    <row r="466" spans="1:10" ht="133.19999999999999"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8671875" defaultRowHeight="0" customHeight="1" zeroHeight="1"/>
  <cols>
    <col min="1" max="1" width="1" style="59" customWidth="1"/>
    <col min="2" max="4" width="3.44140625" style="59" customWidth="1"/>
    <col min="5" max="5" width="3.44140625" style="856"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5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24" hidden="1" customWidth="1"/>
    <col min="76" max="76" width="35.109375" style="58" hidden="1" customWidth="1"/>
    <col min="77" max="77" width="13" style="58" hidden="1" customWidth="1"/>
    <col min="78" max="78" width="8.88671875" style="58" hidden="1" customWidth="1"/>
    <col min="79" max="82" width="8.88671875" style="58" customWidth="1"/>
    <col min="83" max="16384" width="8.88671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4" t="s">
        <v>1154</v>
      </c>
      <c r="AO2" s="1105"/>
      <c r="AP2" s="1105"/>
      <c r="AQ2" s="1106"/>
      <c r="AR2" s="915"/>
      <c r="AS2" s="1104" t="s">
        <v>1155</v>
      </c>
      <c r="AT2" s="1105"/>
      <c r="AU2" s="1105"/>
      <c r="AV2" s="1106"/>
      <c r="AW2" s="915"/>
      <c r="AX2" s="1104" t="s">
        <v>1189</v>
      </c>
      <c r="AY2" s="1105"/>
      <c r="AZ2" s="1105"/>
      <c r="BA2" s="1106"/>
      <c r="BB2" s="876"/>
      <c r="BC2" s="109"/>
      <c r="BL2" s="603"/>
      <c r="BN2" s="659"/>
      <c r="BO2" s="809">
        <f>LEN(C4)</f>
        <v>0</v>
      </c>
      <c r="BP2" s="483" t="s">
        <v>1109</v>
      </c>
      <c r="BQ2" s="483"/>
      <c r="BR2" s="483"/>
      <c r="BT2" s="483"/>
      <c r="BU2" s="241"/>
      <c r="BV2" s="241"/>
      <c r="BW2" s="241"/>
    </row>
    <row r="3" spans="1:77" ht="20.399999999999999"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- 840 McEwensville</v>
      </c>
      <c r="Q3" s="676"/>
      <c r="R3" s="676"/>
      <c r="S3" s="676"/>
      <c r="T3" s="676"/>
      <c r="U3" s="676"/>
      <c r="V3" s="676"/>
      <c r="W3" s="676"/>
      <c r="X3" s="676"/>
      <c r="Y3" s="676"/>
      <c r="Z3" s="676"/>
      <c r="AA3" s="676"/>
      <c r="AB3" s="676"/>
      <c r="AC3" s="673"/>
      <c r="AD3" s="674"/>
      <c r="AE3" s="675"/>
      <c r="AF3" s="672" t="s">
        <v>714</v>
      </c>
      <c r="AG3" s="1107">
        <f>IF(ISBLANK('Start Page'!AB18),"",'Start Page'!AB18)</f>
        <v>2025</v>
      </c>
      <c r="AH3" s="1107"/>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115" t="str">
        <f>IFERROR(IF(ISBLANK('Start Page'!$AB$22),"******* REPORTING UNITS MUST BE SELECTED ON THE INSTRUCTIONS TAB BEFORE PERFORMANCE INDICATORS CAN BE DISPLAYED *******",IF('M36 Refs'!AN118&gt;0," ******* COMPLETE ALL VISIBLE QUESTIONS ON THE INTERACTIVE DATA GRADING TAB TO DISPLAY PERFORMANCE INDICATORS *******","")),"")</f>
        <v/>
      </c>
      <c r="D4" s="1115"/>
      <c r="E4" s="1115"/>
      <c r="F4" s="1115"/>
      <c r="G4" s="1115"/>
      <c r="H4" s="1115"/>
      <c r="I4" s="1115"/>
      <c r="J4" s="1115"/>
      <c r="K4" s="1115"/>
      <c r="L4" s="1115"/>
      <c r="M4" s="1115"/>
      <c r="N4" s="1115"/>
      <c r="O4" s="1115"/>
      <c r="P4" s="1115"/>
      <c r="Q4" s="1115"/>
      <c r="R4" s="1115"/>
      <c r="S4" s="1115"/>
      <c r="T4" s="1115"/>
      <c r="U4" s="1115"/>
      <c r="V4" s="1115"/>
      <c r="W4" s="1115"/>
      <c r="X4" s="1115"/>
      <c r="Y4" s="1115"/>
      <c r="Z4" s="1115"/>
      <c r="AA4" s="1115"/>
      <c r="AB4" s="1115"/>
      <c r="AC4" s="1115"/>
      <c r="AD4" s="1115"/>
      <c r="AE4" s="1115"/>
      <c r="AF4" s="1115"/>
      <c r="AG4" s="1115"/>
      <c r="AH4" s="1115"/>
      <c r="AI4" s="1115"/>
      <c r="AJ4" s="1115"/>
      <c r="AK4" s="1115"/>
      <c r="AL4" s="1115"/>
      <c r="AM4" s="1115"/>
      <c r="AN4" s="1115"/>
      <c r="AO4" s="1115"/>
      <c r="AP4" s="1115"/>
      <c r="AQ4" s="1115"/>
      <c r="AR4" s="1115"/>
      <c r="AS4" s="1115"/>
      <c r="AT4" s="1115"/>
      <c r="AU4" s="1115"/>
      <c r="AV4" s="1115"/>
      <c r="AW4" s="1115"/>
      <c r="AX4" s="1115"/>
      <c r="AY4" s="1115"/>
      <c r="AZ4" s="1115"/>
      <c r="BA4" s="1115"/>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110" t="s">
        <v>781</v>
      </c>
      <c r="D5" s="1110"/>
      <c r="E5" s="1110"/>
      <c r="F5" s="1110"/>
      <c r="G5" s="1110"/>
      <c r="H5" s="1110"/>
      <c r="I5" s="1110"/>
      <c r="J5" s="1110"/>
      <c r="K5" s="1110"/>
      <c r="L5" s="1110"/>
      <c r="M5" s="1110"/>
      <c r="N5" s="1110"/>
      <c r="O5" s="1110"/>
      <c r="P5" s="1110"/>
      <c r="Q5" s="1110"/>
      <c r="R5" s="1110"/>
      <c r="S5" s="1110"/>
      <c r="T5" s="1110"/>
      <c r="U5" s="1110"/>
      <c r="V5" s="1110"/>
      <c r="W5" s="735"/>
      <c r="X5" s="735"/>
      <c r="Y5" s="735"/>
      <c r="Z5" s="735"/>
      <c r="AA5" s="735"/>
      <c r="AB5" s="735"/>
      <c r="AC5" s="735"/>
      <c r="AD5" s="625" t="s">
        <v>1252</v>
      </c>
      <c r="AE5" s="735"/>
      <c r="AF5" s="735"/>
      <c r="AG5" s="735"/>
      <c r="AH5" s="1117" t="s">
        <v>1163</v>
      </c>
      <c r="AI5" s="1117"/>
      <c r="AJ5" s="1117"/>
      <c r="AK5" s="1117"/>
      <c r="AL5" s="1117"/>
      <c r="AM5" s="1117"/>
      <c r="AN5" s="1117"/>
      <c r="AO5" s="1117"/>
      <c r="AP5" s="1117"/>
      <c r="AQ5" s="1117"/>
      <c r="AR5" s="1117"/>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 customHeight="1">
      <c r="A6" s="243"/>
      <c r="B6" s="341"/>
      <c r="C6" s="1110"/>
      <c r="D6" s="1110"/>
      <c r="E6" s="1110"/>
      <c r="F6" s="1110"/>
      <c r="G6" s="1110"/>
      <c r="H6" s="1110"/>
      <c r="I6" s="1110"/>
      <c r="J6" s="1110"/>
      <c r="K6" s="1110"/>
      <c r="L6" s="1110"/>
      <c r="M6" s="1110"/>
      <c r="N6" s="1110"/>
      <c r="O6" s="1110"/>
      <c r="P6" s="1110"/>
      <c r="Q6" s="1110"/>
      <c r="R6" s="1110"/>
      <c r="S6" s="1110"/>
      <c r="T6" s="1110"/>
      <c r="U6" s="1110"/>
      <c r="V6" s="1110"/>
      <c r="W6" s="678"/>
      <c r="X6" s="901"/>
      <c r="Y6" s="902" t="s">
        <v>1206</v>
      </c>
      <c r="Z6" s="1112">
        <v>0.73699999999999999</v>
      </c>
      <c r="AA6" s="1112"/>
      <c r="AB6" s="903" t="s">
        <v>1253</v>
      </c>
      <c r="AC6" s="613"/>
      <c r="AD6" s="735"/>
      <c r="AE6" s="735"/>
      <c r="AF6" s="735"/>
      <c r="AG6" s="735"/>
      <c r="AH6" s="1117"/>
      <c r="AI6" s="1117"/>
      <c r="AJ6" s="1117"/>
      <c r="AK6" s="1117"/>
      <c r="AL6" s="1117"/>
      <c r="AM6" s="1117"/>
      <c r="AN6" s="1117"/>
      <c r="AO6" s="1117"/>
      <c r="AP6" s="1117"/>
      <c r="AQ6" s="1117"/>
      <c r="AR6" s="1117"/>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92</v>
      </c>
      <c r="BS6" s="710"/>
      <c r="BT6" s="709"/>
      <c r="BU6" s="711"/>
      <c r="BV6" s="711"/>
      <c r="BW6" s="711"/>
      <c r="BX6" s="58"/>
      <c r="BY6" s="58"/>
    </row>
    <row r="7" spans="1:77" s="244" customFormat="1" ht="12.9" customHeight="1">
      <c r="A7" s="243"/>
      <c r="B7" s="335"/>
      <c r="C7" s="58"/>
      <c r="D7" s="247"/>
      <c r="E7" s="852"/>
      <c r="F7" s="247"/>
      <c r="G7" s="247"/>
      <c r="H7" s="678"/>
      <c r="I7" s="792" t="s">
        <v>237</v>
      </c>
      <c r="J7" s="1109">
        <f>BR6</f>
        <v>92</v>
      </c>
      <c r="K7" s="1109"/>
      <c r="L7" s="793"/>
      <c r="M7" s="793"/>
      <c r="N7" s="793"/>
      <c r="O7" s="793"/>
      <c r="P7" s="793"/>
      <c r="Q7" s="792" t="s">
        <v>681</v>
      </c>
      <c r="R7" s="1108" t="str">
        <f>IF(BO2&gt;0,"",BR4)</f>
        <v>Tier V (91-100)</v>
      </c>
      <c r="S7" s="1108"/>
      <c r="T7" s="1108"/>
      <c r="U7" s="1108"/>
      <c r="V7" s="1108"/>
      <c r="W7" s="678"/>
      <c r="X7" s="905" t="s">
        <v>1246</v>
      </c>
      <c r="AD7" s="613"/>
      <c r="AE7" s="860"/>
      <c r="AF7" s="860"/>
      <c r="AG7" s="860"/>
      <c r="AH7" s="1111" t="s">
        <v>1190</v>
      </c>
      <c r="AI7" s="1111"/>
      <c r="AJ7" s="1111"/>
      <c r="AK7" s="1111"/>
      <c r="AL7" s="1111"/>
      <c r="AM7" s="1111"/>
      <c r="AN7" s="1111"/>
      <c r="AO7" s="1111"/>
      <c r="AP7" s="1111"/>
      <c r="AQ7" s="1111"/>
      <c r="AR7" s="1111"/>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 customHeight="1">
      <c r="A8" s="109"/>
      <c r="B8" s="335"/>
      <c r="C8" s="613"/>
      <c r="D8" s="613"/>
      <c r="E8" s="853"/>
      <c r="F8" s="613"/>
      <c r="G8" s="613"/>
      <c r="H8" s="1116" t="s">
        <v>1095</v>
      </c>
      <c r="I8" s="1116"/>
      <c r="J8" s="1113" t="s">
        <v>946</v>
      </c>
      <c r="K8" s="1113"/>
      <c r="L8" s="1113"/>
      <c r="M8" s="1113"/>
      <c r="N8" s="1113"/>
      <c r="O8" s="1113"/>
      <c r="P8" s="1114" t="s">
        <v>1094</v>
      </c>
      <c r="Q8" s="1114"/>
      <c r="R8" s="1114"/>
      <c r="S8" s="1114"/>
      <c r="T8" s="613"/>
      <c r="U8" s="613"/>
      <c r="V8" s="247"/>
      <c r="W8" s="247"/>
      <c r="X8" s="58"/>
      <c r="Y8" s="860"/>
      <c r="Z8" s="860"/>
      <c r="AA8" s="860"/>
      <c r="AB8" s="613"/>
      <c r="AC8" s="613"/>
      <c r="AD8" s="613"/>
      <c r="AE8" s="860"/>
      <c r="AF8" s="860"/>
      <c r="AG8" s="860"/>
      <c r="AH8" s="1111"/>
      <c r="AI8" s="1111"/>
      <c r="AJ8" s="1111"/>
      <c r="AK8" s="1111"/>
      <c r="AL8" s="1111"/>
      <c r="AM8" s="1111"/>
      <c r="AN8" s="1111"/>
      <c r="AO8" s="1111"/>
      <c r="AP8" s="1111"/>
      <c r="AQ8" s="1111"/>
      <c r="AR8" s="1111"/>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92</v>
      </c>
      <c r="BT8" s="483"/>
      <c r="BU8" s="241"/>
      <c r="BV8" s="241"/>
      <c r="BW8" s="241"/>
    </row>
    <row r="9" spans="1:77" ht="12.9" customHeight="1">
      <c r="A9" s="109"/>
      <c r="B9" s="335"/>
      <c r="C9" s="613"/>
      <c r="D9" s="613"/>
      <c r="E9" s="853"/>
      <c r="F9" s="613"/>
      <c r="G9" s="613"/>
      <c r="H9" s="1116"/>
      <c r="I9" s="1116"/>
      <c r="J9" s="1113"/>
      <c r="K9" s="1113"/>
      <c r="L9" s="1113"/>
      <c r="M9" s="1113"/>
      <c r="N9" s="1113"/>
      <c r="O9" s="1113"/>
      <c r="P9" s="1114"/>
      <c r="Q9" s="1114"/>
      <c r="R9" s="1114"/>
      <c r="S9" s="1114"/>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106.73333333333333</v>
      </c>
      <c r="BT10" s="483"/>
      <c r="BU10" s="241"/>
      <c r="BV10" s="241"/>
      <c r="BW10" s="241"/>
    </row>
    <row r="11" spans="1:77" ht="12.9"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088"/>
      <c r="J14" s="1088"/>
      <c r="K14" s="1088"/>
      <c r="L14" s="1088"/>
      <c r="M14" s="1088"/>
      <c r="N14" s="1088"/>
      <c r="O14" s="1088"/>
      <c r="P14" s="247"/>
      <c r="Q14" s="247"/>
      <c r="R14" s="247"/>
      <c r="S14" s="247"/>
      <c r="T14" s="247"/>
      <c r="U14" s="247"/>
      <c r="V14" s="247"/>
      <c r="W14" s="247"/>
      <c r="X14" s="247"/>
      <c r="Y14" s="247"/>
      <c r="Z14" s="247"/>
      <c r="AA14" s="247"/>
      <c r="AB14" s="1094" t="str">
        <f>IF(BS15&lt;0,"negative result check inputs",IF($BS$16=0,"result is below 10th %ile",IF($BS$15&gt;$BS$16,"result is above 90th %ile","")))</f>
        <v/>
      </c>
      <c r="AC14" s="1094"/>
      <c r="AD14" s="1094"/>
      <c r="AE14" s="1094"/>
      <c r="AF14" s="682"/>
      <c r="AG14" s="619"/>
      <c r="AH14" s="680"/>
      <c r="AI14" s="680"/>
      <c r="AJ14" s="247"/>
      <c r="AK14" s="247"/>
      <c r="AL14" s="1094" t="str">
        <f>IF(BS22&lt;0,"negative result check inputs",IF($BS$23=0,"result is below 10th %ile",IF($BS$22&gt;$BS$23,"result is above 90th %ile","")))</f>
        <v/>
      </c>
      <c r="AM14" s="1094"/>
      <c r="AN14" s="1094"/>
      <c r="AO14" s="1094"/>
      <c r="AP14" s="247"/>
      <c r="AQ14" s="247"/>
      <c r="AR14" s="247"/>
      <c r="AS14" s="247"/>
      <c r="AT14" s="247"/>
      <c r="AU14" s="247"/>
      <c r="AV14" s="1094" t="str">
        <f>IF(BS29&lt;0,"negative result check inputs",IF($BS$30=0,"result is below 10th %ile",IF($BS$29&gt;$BS$30,"result is above 90th %ile","")))</f>
        <v/>
      </c>
      <c r="AW14" s="1094"/>
      <c r="AX14" s="1094"/>
      <c r="AY14" s="1094"/>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088"/>
      <c r="J15" s="1088"/>
      <c r="K15" s="1088"/>
      <c r="L15" s="1088"/>
      <c r="M15" s="1088"/>
      <c r="N15" s="1088"/>
      <c r="O15" s="1088"/>
      <c r="P15" s="247"/>
      <c r="Q15" s="247"/>
      <c r="R15" s="247"/>
      <c r="S15" s="247"/>
      <c r="T15" s="247"/>
      <c r="U15" s="247"/>
      <c r="V15" s="247"/>
      <c r="W15" s="247"/>
      <c r="X15" s="247"/>
      <c r="Y15" s="247"/>
      <c r="Z15" s="247"/>
      <c r="AA15" s="247"/>
      <c r="AB15" s="1094"/>
      <c r="AC15" s="1094"/>
      <c r="AD15" s="1094"/>
      <c r="AE15" s="1094"/>
      <c r="AF15" s="619"/>
      <c r="AG15" s="619"/>
      <c r="AH15" s="247"/>
      <c r="AI15" s="247"/>
      <c r="AJ15" s="247"/>
      <c r="AK15" s="247"/>
      <c r="AL15" s="1094"/>
      <c r="AM15" s="1094"/>
      <c r="AN15" s="1094"/>
      <c r="AO15" s="1094"/>
      <c r="AP15" s="247"/>
      <c r="AQ15" s="247"/>
      <c r="AR15" s="247"/>
      <c r="AS15" s="247"/>
      <c r="AT15" s="247"/>
      <c r="AU15" s="683"/>
      <c r="AV15" s="1094"/>
      <c r="AW15" s="1094"/>
      <c r="AX15" s="1094"/>
      <c r="AY15" s="1094"/>
      <c r="AZ15" s="247"/>
      <c r="BA15" s="247"/>
      <c r="BB15" s="342"/>
      <c r="BC15" s="109"/>
      <c r="BN15" s="662"/>
      <c r="BO15" s="715" t="s">
        <v>1022</v>
      </c>
      <c r="BP15" s="715"/>
      <c r="BR15" s="704" t="s">
        <v>1047</v>
      </c>
      <c r="BS15" s="731">
        <f>IF($BO$2&gt;0,"",IFERROR(SUM(N49:N50)/Worksheet!H62,""))</f>
        <v>20.053764320998937</v>
      </c>
      <c r="BT15" s="716"/>
      <c r="BU15" s="804" t="s">
        <v>1043</v>
      </c>
      <c r="BV15" s="717"/>
      <c r="BW15" s="717"/>
      <c r="BX15" s="664"/>
    </row>
    <row r="16" spans="1:77" ht="15" customHeight="1">
      <c r="A16" s="109"/>
      <c r="B16" s="335"/>
      <c r="C16" s="58"/>
      <c r="D16" s="247"/>
      <c r="E16" s="852"/>
      <c r="F16" s="247"/>
      <c r="G16" s="247"/>
      <c r="H16" s="247"/>
      <c r="I16" s="1088"/>
      <c r="J16" s="1088"/>
      <c r="K16" s="1088"/>
      <c r="L16" s="1088"/>
      <c r="M16" s="1088"/>
      <c r="N16" s="1088"/>
      <c r="O16" s="1088"/>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20.053764320998937</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088"/>
      <c r="J17" s="1088"/>
      <c r="K17" s="1088"/>
      <c r="L17" s="1088"/>
      <c r="M17" s="1088"/>
      <c r="N17" s="1088"/>
      <c r="O17" s="1088"/>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2">
        <f>BS15</f>
        <v>20.053764320998937</v>
      </c>
      <c r="AB18" s="1102"/>
      <c r="AC18" s="1102"/>
      <c r="AD18" s="871" t="str">
        <f>BD13</f>
        <v>$/conn/year</v>
      </c>
      <c r="AE18" s="872"/>
      <c r="AF18" s="873"/>
      <c r="AG18" s="873"/>
      <c r="AH18" s="874"/>
      <c r="AI18" s="874"/>
      <c r="AJ18" s="872"/>
      <c r="AK18" s="1102">
        <f>BS22</f>
        <v>5.8446660901699552</v>
      </c>
      <c r="AL18" s="1102"/>
      <c r="AM18" s="1102"/>
      <c r="AN18" s="871" t="str">
        <f>BD13</f>
        <v>$/conn/year</v>
      </c>
      <c r="AO18" s="872"/>
      <c r="AP18" s="872"/>
      <c r="AQ18" s="872"/>
      <c r="AR18" s="872"/>
      <c r="AS18" s="872"/>
      <c r="AT18" s="872"/>
      <c r="AU18" s="1102">
        <f>BS29</f>
        <v>14.20909823082898</v>
      </c>
      <c r="AV18" s="1102"/>
      <c r="AW18" s="1102"/>
      <c r="AX18" s="871" t="str">
        <f>BD13</f>
        <v>$/conn/year</v>
      </c>
      <c r="AY18" s="701"/>
      <c r="AZ18" s="247"/>
      <c r="BA18" s="247"/>
      <c r="BB18" s="342"/>
      <c r="BC18" s="109"/>
      <c r="BD18" s="58" t="s">
        <v>706</v>
      </c>
      <c r="BE18" s="234">
        <f>(((5.41*Worksheet!H61)+(0.15*Worksheet!H62)+(7.5*(Worksheet!H62*Worksheet!W67/5280)))*Worksheet!H68)/1000000*365</f>
        <v>0.81160985227272731</v>
      </c>
      <c r="BN18" s="659"/>
      <c r="BO18" s="716" t="s">
        <v>1039</v>
      </c>
      <c r="BP18" s="718">
        <f>BQ18-BQ17</f>
        <v>8.9525318444022357</v>
      </c>
      <c r="BQ18" s="900">
        <f t="shared" si="0"/>
        <v>18.283980813778896</v>
      </c>
      <c r="BR18" s="716" t="s">
        <v>779</v>
      </c>
      <c r="BS18" s="720">
        <f>SUM(BP16:BP20)-SUM(BS16,BS17)</f>
        <v>94.62421426573718</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2.4907359134258731</v>
      </c>
      <c r="BF19" s="233">
        <f>BE19*325851.427242/Worksheet!H62/365</f>
        <v>13.558467294900222</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4.9723950000000006</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5.8446660901699552</v>
      </c>
      <c r="BT22" s="701"/>
      <c r="BU22" s="804" t="s">
        <v>1043</v>
      </c>
      <c r="BV22" s="719"/>
      <c r="BW22" s="719"/>
      <c r="BX22" s="664"/>
    </row>
    <row r="23" spans="1:78" ht="12.9"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5.8446660901699552</v>
      </c>
      <c r="BT23" s="716" t="s">
        <v>1041</v>
      </c>
      <c r="BU23" s="730">
        <v>0.26714599111167436</v>
      </c>
      <c r="BV23" s="719"/>
      <c r="BW23" s="904">
        <f>IF($Z$6="",BU23/0.737,BU23/$Z$6)</f>
        <v>0.36247759988015515</v>
      </c>
      <c r="BX23" s="664"/>
    </row>
    <row r="24" spans="1:78" ht="12.9"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4" t="str">
        <f>IF(BS36&lt;0,"negative result check inputs",IF($BS$37=0,"result is below 10th %ile",IF($BS$36&gt;$BS$37,"result is above 90th %ile","")))</f>
        <v/>
      </c>
      <c r="AC25" s="1094"/>
      <c r="AD25" s="1094"/>
      <c r="AE25" s="1094"/>
      <c r="AF25" s="619"/>
      <c r="AG25" s="619"/>
      <c r="AH25" s="680"/>
      <c r="AI25" s="680"/>
      <c r="AJ25" s="685"/>
      <c r="AK25" s="247"/>
      <c r="AL25" s="1094" t="str">
        <f>IF(BS43&lt;0,"negative result check inputs",IF($BS$44=0,"result is below 10th %ile",IF($BS$43&gt;$BS$44,"result is above 90th %ile","")))</f>
        <v>result is below 10th %ile</v>
      </c>
      <c r="AM25" s="1094"/>
      <c r="AN25" s="1094"/>
      <c r="AO25" s="1094"/>
      <c r="AP25" s="247"/>
      <c r="AQ25" s="247"/>
      <c r="AR25" s="247"/>
      <c r="AS25" s="247"/>
      <c r="AT25" s="247"/>
      <c r="AU25" s="683"/>
      <c r="AV25" s="1094" t="str">
        <f>IF(BS55&lt;0,"negative result check inputs",IF($BS$56=0,"result is below 10th %ile",IF($BS$55&gt;$BS$56,"result is above 90th %ile","")))</f>
        <v/>
      </c>
      <c r="AW25" s="1094"/>
      <c r="AX25" s="1094"/>
      <c r="AY25" s="1094"/>
      <c r="AZ25" s="247"/>
      <c r="BA25" s="247"/>
      <c r="BB25" s="336"/>
      <c r="BC25" s="109"/>
      <c r="BN25" s="659"/>
      <c r="BO25" s="716" t="s">
        <v>1039</v>
      </c>
      <c r="BP25" s="718">
        <f>BQ25-BQ24</f>
        <v>5.2798362211473915</v>
      </c>
      <c r="BQ25" s="900">
        <f t="shared" si="1"/>
        <v>6.1547896930365926</v>
      </c>
      <c r="BR25" s="716" t="s">
        <v>779</v>
      </c>
      <c r="BS25" s="720">
        <f>SUM(BP23:BP27)-SUM(BS23,BS24)</f>
        <v>42.233755563473153</v>
      </c>
      <c r="BT25" s="716" t="s">
        <v>1039</v>
      </c>
      <c r="BU25" s="730">
        <v>6.1547896930365926</v>
      </c>
      <c r="BV25" s="719"/>
      <c r="BW25" s="904">
        <f>IF($Z$6="",BU25/0.737,BU25/$Z$6)</f>
        <v>8.3511393392626765</v>
      </c>
      <c r="BX25" s="58" t="s">
        <v>1205</v>
      </c>
    </row>
    <row r="26" spans="1:78" ht="12.9"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4"/>
      <c r="AC26" s="1094"/>
      <c r="AD26" s="1094"/>
      <c r="AE26" s="1094"/>
      <c r="AF26" s="619"/>
      <c r="AG26" s="619"/>
      <c r="AH26" s="680"/>
      <c r="AI26" s="680"/>
      <c r="AJ26" s="685"/>
      <c r="AK26" s="247"/>
      <c r="AL26" s="1094"/>
      <c r="AM26" s="1094"/>
      <c r="AN26" s="1094"/>
      <c r="AO26" s="1094"/>
      <c r="AP26" s="247"/>
      <c r="AQ26" s="247"/>
      <c r="AR26" s="247"/>
      <c r="AS26" s="247"/>
      <c r="AT26" s="247"/>
      <c r="AU26" s="683"/>
      <c r="AV26" s="1094"/>
      <c r="AW26" s="1094"/>
      <c r="AX26" s="1094"/>
      <c r="AY26" s="1094"/>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3">
        <f>BS36</f>
        <v>31.181306816774189</v>
      </c>
      <c r="AB29" s="1103"/>
      <c r="AC29" s="1103"/>
      <c r="AD29" s="870" t="str">
        <f>BD10</f>
        <v>gal/conn/day</v>
      </c>
      <c r="AE29" s="870"/>
      <c r="AF29" s="875"/>
      <c r="AG29" s="875"/>
      <c r="AH29" s="700"/>
      <c r="AI29" s="700"/>
      <c r="AJ29" s="700"/>
      <c r="AK29" s="1103">
        <f>BS43</f>
        <v>1.002355664901607</v>
      </c>
      <c r="AL29" s="1103"/>
      <c r="AM29" s="1103"/>
      <c r="AN29" s="871" t="str">
        <f>BD10</f>
        <v>gal/conn/day</v>
      </c>
      <c r="AO29" s="700"/>
      <c r="AP29" s="700"/>
      <c r="AQ29" s="700"/>
      <c r="AR29" s="700"/>
      <c r="AS29" s="700"/>
      <c r="AT29" s="700"/>
      <c r="AU29" s="1098">
        <f>BS55</f>
        <v>30.178951151872582</v>
      </c>
      <c r="AV29" s="1098"/>
      <c r="AW29" s="1098"/>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14.20909823082898</v>
      </c>
      <c r="BT29" s="701"/>
      <c r="BU29" s="804" t="s">
        <v>1043</v>
      </c>
      <c r="BV29" s="719"/>
      <c r="BW29" s="719"/>
      <c r="BX29" s="664"/>
    </row>
    <row r="30" spans="1:78" ht="12.9"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14.20909823082898</v>
      </c>
      <c r="BT30" s="716" t="s">
        <v>1041</v>
      </c>
      <c r="BU30" s="730">
        <v>1.9039650877460725</v>
      </c>
      <c r="BV30" s="719"/>
      <c r="BW30" s="904">
        <f>IF($Z$6="",BU30/0.737,BU30/$Z$6)</f>
        <v>2.5833990335767605</v>
      </c>
      <c r="BX30" s="664"/>
    </row>
    <row r="31" spans="1:78" ht="12.9"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9">
        <f>IF(input_AOP="","",input_AOP)</f>
        <v>50</v>
      </c>
      <c r="Y32" s="1099"/>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56.316832185707035</v>
      </c>
      <c r="BT32" s="716" t="s">
        <v>1039</v>
      </c>
      <c r="BU32" s="730">
        <v>7.9497675242722758</v>
      </c>
      <c r="BV32" s="719"/>
      <c r="BW32" s="904">
        <f>IF($Z$6="",BU32/0.737,BU32/$Z$6)</f>
        <v>10.786658784629953</v>
      </c>
      <c r="BX32" s="58" t="s">
        <v>1205</v>
      </c>
    </row>
    <row r="33" spans="1:78" ht="12.9"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00" t="str">
        <f>IF(BQ83=0,"",IF(BQ83&lt;BQ78,"AOP is below 10th %ile",IF(BQ83&gt;BQ82,"AOP is above 90th %ile","")))</f>
        <v>AOP is below 10th %ile</v>
      </c>
      <c r="AC33" s="1100"/>
      <c r="AD33" s="1100"/>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00"/>
      <c r="AC34" s="1100"/>
      <c r="AD34" s="1100"/>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31.181306816774189</v>
      </c>
      <c r="BT36" s="716"/>
      <c r="BU36" s="804" t="s">
        <v>1043</v>
      </c>
      <c r="BV36" s="717"/>
      <c r="BW36" s="717"/>
      <c r="BX36" s="664"/>
      <c r="BY36" s="58" t="s">
        <v>1158</v>
      </c>
      <c r="BZ36" s="58" t="str">
        <f>IF(OR(Worksheet!S89=0,Worksheet!S89="",BO2&gt;0),"",Worksheet!S89)</f>
        <v/>
      </c>
    </row>
    <row r="37" spans="1:78" ht="12.9"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4" t="str">
        <f>IF(BS62&lt;0,"negative result check inputs",IF($BS$63=0,"result is below 10th %ile",IF($BS$62&gt;$BS$63,"result is above 90th %ile","")))</f>
        <v/>
      </c>
      <c r="AJ37" s="1094"/>
      <c r="AK37" s="1094"/>
      <c r="AL37" s="1094"/>
      <c r="AM37" s="247"/>
      <c r="AN37" s="247"/>
      <c r="AO37" s="247"/>
      <c r="AP37" s="247"/>
      <c r="AQ37" s="247"/>
      <c r="AR37" s="247"/>
      <c r="AS37" s="247"/>
      <c r="AT37" s="1094" t="str">
        <f>IF(BS69&lt;0,"negative result check inputs",IF($BS$70=0,"result is below 10th %ile",IF($BS$69&gt;$BS$70,"result is above 90th %ile","")))</f>
        <v/>
      </c>
      <c r="AU37" s="1094"/>
      <c r="AV37" s="1094"/>
      <c r="AW37" s="1094"/>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31.181306816774189</v>
      </c>
      <c r="BT37" s="716" t="s">
        <v>1041</v>
      </c>
      <c r="BU37" s="728">
        <v>21.095211492757553</v>
      </c>
      <c r="BV37" s="717"/>
      <c r="BW37" s="722">
        <f>BU37*3.78541</f>
        <v>79.854024536799372</v>
      </c>
      <c r="BX37" s="665"/>
      <c r="BY37" s="58" t="s">
        <v>1159</v>
      </c>
      <c r="BZ37" s="58" t="str">
        <f>IF(BZ36="","",IF(BZ36&lt;BQ37,0,IF(BZ36&gt;BQ41,BQ41,BZ36)))</f>
        <v/>
      </c>
    </row>
    <row r="38" spans="1:78" ht="12.9"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4"/>
      <c r="AJ38" s="1094"/>
      <c r="AK38" s="1094"/>
      <c r="AL38" s="1094"/>
      <c r="AM38" s="247"/>
      <c r="AN38" s="247"/>
      <c r="AO38" s="247"/>
      <c r="AP38" s="247"/>
      <c r="AQ38" s="247"/>
      <c r="AR38" s="247"/>
      <c r="AS38" s="247"/>
      <c r="AT38" s="1094"/>
      <c r="AU38" s="1094"/>
      <c r="AV38" s="1094"/>
      <c r="AW38" s="1094"/>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217.11828137438846</v>
      </c>
      <c r="BT39" s="716" t="s">
        <v>1039</v>
      </c>
      <c r="BU39" s="729">
        <v>45.389374832578994</v>
      </c>
      <c r="BV39" s="717"/>
      <c r="BW39" s="722">
        <f t="shared" ref="BW39:BW41" si="4">BU39*3.78541</f>
        <v>171.81739338499287</v>
      </c>
      <c r="BX39" s="58" t="s">
        <v>1033</v>
      </c>
      <c r="BY39" s="716" t="s">
        <v>779</v>
      </c>
      <c r="BZ39" s="720" t="str">
        <f>IF(BZ38="","",SUM(BP37:BP41)-SUM(BZ37,BZ38))</f>
        <v/>
      </c>
    </row>
    <row r="40" spans="1:78" ht="12.9"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97">
        <f>BS62</f>
        <v>2.2258379576004037</v>
      </c>
      <c r="AI41" s="1097"/>
      <c r="AJ41" s="1097"/>
      <c r="AK41" s="870" t="s">
        <v>1048</v>
      </c>
      <c r="AL41" s="799"/>
      <c r="AM41" s="800"/>
      <c r="AN41" s="796"/>
      <c r="AO41" s="796"/>
      <c r="AP41" s="796"/>
      <c r="AQ41" s="796"/>
      <c r="AR41" s="796"/>
      <c r="AS41" s="1096">
        <f>BS69</f>
        <v>1833.0918477433713</v>
      </c>
      <c r="AT41" s="1096"/>
      <c r="AU41" s="1096"/>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93" t="s">
        <v>1198</v>
      </c>
      <c r="AA43" s="1093"/>
      <c r="AB43" s="1093"/>
      <c r="AC43" s="1093"/>
      <c r="AD43" s="1093"/>
      <c r="AE43" s="1093"/>
      <c r="AF43" s="1093"/>
      <c r="AG43" s="1093"/>
      <c r="AH43" s="1093"/>
      <c r="AI43" s="1093"/>
      <c r="AJ43" s="1093"/>
      <c r="AK43" s="1095">
        <f>IF(OR(ISBLANK('Start Page'!$AB$22),LEN(Worksheet!C70)&gt;0),"",VLOOKUP(BD7,BD18:BE20,2,FALSE))</f>
        <v>0.81160985227272731</v>
      </c>
      <c r="AL43" s="1095"/>
      <c r="AM43" s="1095"/>
      <c r="AN43" s="1095"/>
      <c r="AO43" s="916" t="str">
        <f>BD7</f>
        <v>MG/Yr</v>
      </c>
      <c r="AP43" s="700"/>
      <c r="AQ43" s="700"/>
      <c r="AR43" s="700"/>
      <c r="AS43" s="1095">
        <f>IF(BG19=1,BF19,IFERROR(AK43*1000000/Worksheet!H62/365,""))</f>
        <v>13.558467294900222</v>
      </c>
      <c r="AT43" s="1095"/>
      <c r="AU43" s="1095"/>
      <c r="AV43" s="1095"/>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1.002355664901607</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0</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32.38086259525317</v>
      </c>
      <c r="BT46" s="716" t="s">
        <v>1039</v>
      </c>
      <c r="BU46" s="729">
        <v>5.3003029870122091</v>
      </c>
      <c r="BV46" s="717"/>
      <c r="BW46" s="722">
        <f t="shared" si="6"/>
        <v>20.063819930065886</v>
      </c>
      <c r="BX46" s="58" t="s">
        <v>1033</v>
      </c>
      <c r="BY46" s="716" t="s">
        <v>779</v>
      </c>
      <c r="BZ46" s="720" t="str">
        <f>IF(BZ45="","",SUM(BP44:BP48)-SUM(BZ44,BZ45))</f>
        <v/>
      </c>
    </row>
    <row r="47" spans="1:78" ht="12.9" customHeight="1">
      <c r="A47" s="109"/>
      <c r="B47" s="604"/>
      <c r="C47" s="58"/>
      <c r="D47" s="247"/>
      <c r="E47" s="852"/>
      <c r="F47" s="247"/>
      <c r="G47" s="247"/>
      <c r="H47" s="247"/>
      <c r="I47" s="1092" t="s">
        <v>684</v>
      </c>
      <c r="J47" s="1092"/>
      <c r="K47" s="1092"/>
      <c r="L47" s="1092"/>
      <c r="M47" s="697"/>
      <c r="N47" s="1092" t="s">
        <v>685</v>
      </c>
      <c r="O47" s="1092"/>
      <c r="P47" s="1092"/>
      <c r="Q47" s="1092"/>
      <c r="R47" s="1101" t="s">
        <v>956</v>
      </c>
      <c r="S47" s="1101"/>
      <c r="T47" s="1101"/>
      <c r="U47" s="1101"/>
      <c r="V47" s="1101"/>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092" t="str">
        <f>BD7</f>
        <v>MG/Yr</v>
      </c>
      <c r="J48" s="1092"/>
      <c r="K48" s="1092"/>
      <c r="L48" s="1092"/>
      <c r="M48" s="697"/>
      <c r="N48" s="1092" t="s">
        <v>683</v>
      </c>
      <c r="O48" s="1092"/>
      <c r="P48" s="1092"/>
      <c r="Q48" s="1092"/>
      <c r="R48" s="1101"/>
      <c r="S48" s="1101"/>
      <c r="T48" s="1101"/>
      <c r="U48" s="1101"/>
      <c r="V48" s="1101"/>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090">
        <f>IF(ISBLANK('Start Page'!$AB$22),"",Worksheet!H46)</f>
        <v>6.0001010101010194E-2</v>
      </c>
      <c r="J49" s="1090"/>
      <c r="K49" s="1090"/>
      <c r="L49" s="1090"/>
      <c r="M49" s="683"/>
      <c r="N49" s="1091">
        <f>IF(OR(ISBLANK('Start Page'!$AB$22),ISBLANK(Worksheet!J76)),"",(SUM(Worksheet!H43+Worksheet!H39+Worksheet!X50)*Worksheet!H76)*INDEX(Sheet1!B2:D4,MATCH('Start Page'!AB22,Sheet1!A2:A4,0),MATCH(Worksheet!J76,Sheet1!B1:D1,0))+Worksheet!Y50*Worksheet!H77)</f>
        <v>958.52523878787269</v>
      </c>
      <c r="O49" s="1091"/>
      <c r="P49" s="1091"/>
      <c r="Q49" s="1091"/>
      <c r="R49" s="1089" t="s">
        <v>912</v>
      </c>
      <c r="S49" s="1089"/>
      <c r="T49" s="1089"/>
      <c r="U49" s="1089"/>
      <c r="V49" s="1089"/>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090">
        <f>IF(ISBLANK('Start Page'!$AB$22),"",Worksheet!H51)</f>
        <v>1.8065120159510928</v>
      </c>
      <c r="J50" s="1090"/>
      <c r="K50" s="1090"/>
      <c r="L50" s="1090"/>
      <c r="M50" s="683"/>
      <c r="N50" s="1091">
        <f>IFERROR(IF(Worksheet!H41="Select under/over","",IF(ISBLANK('Start Page'!AB22),"",Worksheet!H51*(IF(BD29=FALSE,Worksheet!H77,IF(BD29=TRUE,Worksheet!H76*INDEX(Sheet1!B2:D4,MATCH('Start Page'!AB22,Sheet1!A2:A4,0),MATCH(Worksheet!J76,Sheet1!B1:D1,0)),""))))),"")</f>
        <v>2330.2921098559527</v>
      </c>
      <c r="O50" s="1091"/>
      <c r="P50" s="1091"/>
      <c r="Q50" s="1091"/>
      <c r="R50" s="1089" t="str">
        <f>IF(BD29=FALSE,"VPC",R49)</f>
        <v>VPC</v>
      </c>
      <c r="S50" s="1089"/>
      <c r="T50" s="1089"/>
      <c r="U50" s="1089"/>
      <c r="V50" s="1089"/>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090">
        <f>IF(ISBLANK('Start Page'!$AB$22),"",SUM(Worksheet!H25:H26))</f>
        <v>0.03</v>
      </c>
      <c r="J51" s="1090"/>
      <c r="K51" s="1090"/>
      <c r="L51" s="1090"/>
      <c r="M51" s="683"/>
      <c r="N51" s="1091">
        <f>IFERROR(IF(SUM(Sheet1!D90:D91)=0,"",SUM(Sheet1!D90:D91)),"")</f>
        <v>38.6982</v>
      </c>
      <c r="O51" s="1091"/>
      <c r="P51" s="1091"/>
      <c r="Q51" s="1091"/>
      <c r="R51" s="1089" t="str">
        <f>IF(BD29=FALSE,"VPC",R49)</f>
        <v>VPC</v>
      </c>
      <c r="S51" s="1089"/>
      <c r="T51" s="1089"/>
      <c r="U51" s="1089"/>
      <c r="V51" s="1089"/>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090">
        <f>IF(SUM(I49:I51)=0,"",SUM(I49:I51))</f>
        <v>1.896513026052103</v>
      </c>
      <c r="J52" s="1090"/>
      <c r="K52" s="1090"/>
      <c r="L52" s="1090"/>
      <c r="M52" s="683"/>
      <c r="N52" s="1091">
        <f>IF(SUM(N49:N51)=0,"",SUM(N49:N51))</f>
        <v>3327.5155486438252</v>
      </c>
      <c r="O52" s="1091"/>
      <c r="P52" s="1091"/>
      <c r="Q52" s="1091"/>
      <c r="R52" s="1089" t="str">
        <f>IF(BD29=FALSE,"Blended",R49)</f>
        <v>Blended</v>
      </c>
      <c r="S52" s="1089"/>
      <c r="T52" s="1089"/>
      <c r="U52" s="1089"/>
      <c r="V52" s="1089"/>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30.178951151872582</v>
      </c>
      <c r="BT55" s="716"/>
      <c r="BU55" s="804" t="s">
        <v>1043</v>
      </c>
      <c r="BV55" s="717"/>
      <c r="BW55" s="717"/>
      <c r="BX55" s="665"/>
      <c r="BY55" s="58" t="s">
        <v>1158</v>
      </c>
      <c r="BZ55" s="58" t="str">
        <f>IF(OR(Worksheet!S91=0,Worksheet!S91="",BO2&gt;0),"",Worksheet!S91)</f>
        <v/>
      </c>
    </row>
    <row r="56" spans="1:78" ht="12.9"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30.178951151872582</v>
      </c>
      <c r="BT56" s="716" t="s">
        <v>1041</v>
      </c>
      <c r="BU56" s="728">
        <v>16.277522142556361</v>
      </c>
      <c r="BV56" s="717"/>
      <c r="BW56" s="722">
        <f t="shared" ref="BW56:BW60" si="7">BU56*3.78541</f>
        <v>61.617095093654278</v>
      </c>
      <c r="BX56" s="665"/>
      <c r="BY56" s="58" t="s">
        <v>1159</v>
      </c>
      <c r="BZ56" s="58" t="str">
        <f>IF(BZ55="","",IF(BZ55&lt;BQ56,0,IF(BZ55&gt;BQ60,BQ60,BZ55)))</f>
        <v/>
      </c>
    </row>
    <row r="57" spans="1:78" ht="12.9"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198.84008119734042</v>
      </c>
      <c r="BT58" s="716" t="s">
        <v>1039</v>
      </c>
      <c r="BU58" s="728">
        <v>36.775172663134363</v>
      </c>
      <c r="BV58" s="717"/>
      <c r="BW58" s="722">
        <f t="shared" si="7"/>
        <v>139.20910635075546</v>
      </c>
      <c r="BX58" s="58" t="s">
        <v>1033</v>
      </c>
      <c r="BY58" s="716" t="s">
        <v>779</v>
      </c>
      <c r="BZ58" s="720" t="str">
        <f>IF(BZ57="","",SUM(BP56:BP60)-SUM(BZ56,BZ57))</f>
        <v/>
      </c>
    </row>
    <row r="59" spans="1:78" ht="12.9"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2.2258379576004037</v>
      </c>
      <c r="BT62" s="701"/>
      <c r="BU62" s="804" t="s">
        <v>1043</v>
      </c>
      <c r="BV62" s="719"/>
      <c r="BW62" s="719"/>
      <c r="BX62" s="738" t="s">
        <v>1044</v>
      </c>
    </row>
    <row r="63" spans="1:78" ht="15.6">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2.2258379576004037</v>
      </c>
      <c r="BT63" s="716" t="s">
        <v>1041</v>
      </c>
      <c r="BU63" s="728">
        <v>0.88524096981003719</v>
      </c>
      <c r="BV63" s="719"/>
      <c r="BW63" s="719"/>
      <c r="BX63" s="665"/>
    </row>
    <row r="64" spans="1:78" ht="15.6">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6">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9.0403397695688383</v>
      </c>
      <c r="BT65" s="716" t="s">
        <v>1039</v>
      </c>
      <c r="BU65" s="728">
        <v>1.8480735080920576</v>
      </c>
      <c r="BV65" s="719"/>
      <c r="BW65" s="719"/>
      <c r="BY65" s="716"/>
      <c r="BZ65" s="720"/>
    </row>
    <row r="66" spans="1:78" ht="15.6">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6">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1833.0918477433713</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1833.0918477433713</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10217.977061957132</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-2.3341914735724885</v>
      </c>
      <c r="BQ83" s="733">
        <f>BP83+BQ78</f>
        <v>50</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7" activePane="bottomLeft" state="frozen"/>
      <selection activeCell="F138" sqref="F138"/>
      <selection pane="bottomLeft" activeCell="G25" sqref="G25:G27"/>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131" t="s">
        <v>883</v>
      </c>
      <c r="C2" s="1131"/>
      <c r="D2" s="1131"/>
      <c r="E2" s="1131"/>
      <c r="F2" s="1131"/>
      <c r="G2" s="1131"/>
      <c r="H2" s="1131"/>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- 840 McEwensville</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 customHeight="1">
      <c r="F7" s="508" t="s">
        <v>884</v>
      </c>
      <c r="G7" s="1130"/>
      <c r="H7" s="1130"/>
    </row>
    <row r="8" spans="2:21" ht="5.4" customHeight="1">
      <c r="F8" s="343"/>
      <c r="G8" s="343"/>
      <c r="H8" s="343"/>
    </row>
    <row r="9" spans="2:21" ht="16.350000000000001" customHeight="1">
      <c r="F9" s="509" t="s">
        <v>139</v>
      </c>
      <c r="G9" s="509" t="s">
        <v>885</v>
      </c>
      <c r="H9" s="509" t="s">
        <v>886</v>
      </c>
    </row>
    <row r="10" spans="2:21" ht="28.95" customHeight="1">
      <c r="B10" s="538"/>
      <c r="C10" s="518"/>
      <c r="D10" s="538"/>
      <c r="F10" s="1124" t="s">
        <v>1137</v>
      </c>
      <c r="G10" s="1127"/>
      <c r="H10" s="1127"/>
    </row>
    <row r="11" spans="2:21" ht="28.95" customHeight="1">
      <c r="B11" s="845" t="s">
        <v>1154</v>
      </c>
      <c r="C11" s="518"/>
      <c r="D11" s="845" t="s">
        <v>1155</v>
      </c>
      <c r="F11" s="1125"/>
      <c r="G11" s="1128"/>
      <c r="H11" s="1128"/>
      <c r="J11" s="344"/>
      <c r="K11" s="344"/>
      <c r="L11" s="344"/>
      <c r="M11" s="344"/>
      <c r="N11" s="344"/>
      <c r="O11" s="344"/>
      <c r="P11" s="344"/>
      <c r="Q11" s="344"/>
      <c r="R11" s="344"/>
      <c r="S11" s="344"/>
      <c r="T11" s="344"/>
      <c r="U11" s="345"/>
    </row>
    <row r="12" spans="2:21" ht="28.95" customHeight="1">
      <c r="B12" s="538"/>
      <c r="C12" s="518"/>
      <c r="D12" s="538"/>
      <c r="F12" s="1126"/>
      <c r="G12" s="1129"/>
      <c r="H12" s="1129"/>
      <c r="J12" s="838"/>
      <c r="K12" s="838"/>
      <c r="L12" s="838"/>
      <c r="M12" s="838"/>
      <c r="N12" s="838"/>
      <c r="O12" s="838"/>
      <c r="P12" s="838"/>
      <c r="Q12" s="838"/>
      <c r="R12" s="838"/>
      <c r="S12" s="838"/>
      <c r="T12" s="838"/>
      <c r="U12" s="838"/>
    </row>
    <row r="13" spans="2:21" ht="28.95" customHeight="1">
      <c r="B13" s="538"/>
      <c r="C13" s="518"/>
      <c r="D13" s="538"/>
      <c r="F13" s="1124" t="s">
        <v>1138</v>
      </c>
      <c r="G13" s="1127"/>
      <c r="H13" s="1127"/>
      <c r="J13" s="838"/>
      <c r="K13" s="838"/>
      <c r="L13" s="838"/>
      <c r="M13" s="838"/>
      <c r="N13" s="838"/>
      <c r="O13" s="838"/>
      <c r="P13" s="838"/>
      <c r="Q13" s="838"/>
      <c r="R13" s="838"/>
      <c r="S13" s="838"/>
      <c r="T13" s="838"/>
      <c r="U13" s="838"/>
    </row>
    <row r="14" spans="2:21" ht="28.95" customHeight="1">
      <c r="B14" s="845" t="s">
        <v>1154</v>
      </c>
      <c r="C14" s="518"/>
      <c r="D14" s="845" t="s">
        <v>1155</v>
      </c>
      <c r="F14" s="1125"/>
      <c r="G14" s="1128"/>
      <c r="H14" s="1128"/>
    </row>
    <row r="15" spans="2:21" ht="28.95" customHeight="1">
      <c r="B15" s="846"/>
      <c r="C15" s="518"/>
      <c r="D15" s="846"/>
      <c r="F15" s="1126"/>
      <c r="G15" s="1129"/>
      <c r="H15" s="1129"/>
    </row>
    <row r="16" spans="2:21" ht="28.95" customHeight="1">
      <c r="B16" s="538"/>
      <c r="C16" s="518"/>
      <c r="D16" s="538"/>
      <c r="F16" s="1124" t="s">
        <v>1139</v>
      </c>
      <c r="G16" s="1121"/>
      <c r="H16" s="1121"/>
    </row>
    <row r="17" spans="2:8" ht="28.95" customHeight="1">
      <c r="B17" s="845" t="s">
        <v>1154</v>
      </c>
      <c r="C17" s="518"/>
      <c r="D17" s="845" t="s">
        <v>1155</v>
      </c>
      <c r="F17" s="1125"/>
      <c r="G17" s="1122"/>
      <c r="H17" s="1122"/>
    </row>
    <row r="18" spans="2:8" ht="28.95" customHeight="1">
      <c r="B18" s="538"/>
      <c r="C18" s="518"/>
      <c r="D18" s="538"/>
      <c r="F18" s="1126"/>
      <c r="G18" s="1123"/>
      <c r="H18" s="1123"/>
    </row>
    <row r="19" spans="2:8" ht="28.95" customHeight="1">
      <c r="B19" s="538"/>
      <c r="C19" s="518"/>
      <c r="D19" s="538"/>
      <c r="F19" s="1124" t="s">
        <v>1140</v>
      </c>
      <c r="G19" s="1121"/>
      <c r="H19" s="1121"/>
    </row>
    <row r="20" spans="2:8" ht="28.95" customHeight="1">
      <c r="B20" s="845" t="s">
        <v>1154</v>
      </c>
      <c r="C20" s="518"/>
      <c r="D20" s="845" t="s">
        <v>1155</v>
      </c>
      <c r="F20" s="1125"/>
      <c r="G20" s="1122"/>
      <c r="H20" s="1122"/>
    </row>
    <row r="21" spans="2:8" ht="28.95" customHeight="1">
      <c r="B21" s="538"/>
      <c r="C21" s="518"/>
      <c r="D21" s="538"/>
      <c r="F21" s="1126"/>
      <c r="G21" s="1123"/>
      <c r="H21" s="1123"/>
    </row>
    <row r="22" spans="2:8" ht="28.95" customHeight="1">
      <c r="B22" s="538"/>
      <c r="C22" s="518"/>
      <c r="D22" s="538"/>
      <c r="F22" s="1124" t="s">
        <v>1131</v>
      </c>
      <c r="G22" s="1121"/>
      <c r="H22" s="1121"/>
    </row>
    <row r="23" spans="2:8" ht="28.95" customHeight="1">
      <c r="B23" s="845" t="s">
        <v>1154</v>
      </c>
      <c r="C23" s="518"/>
      <c r="D23" s="845" t="s">
        <v>1155</v>
      </c>
      <c r="F23" s="1125"/>
      <c r="G23" s="1122"/>
      <c r="H23" s="1122"/>
    </row>
    <row r="24" spans="2:8" ht="28.95" customHeight="1">
      <c r="B24" s="538"/>
      <c r="C24" s="518"/>
      <c r="D24" s="538"/>
      <c r="F24" s="1126"/>
      <c r="G24" s="1123"/>
      <c r="H24" s="1123"/>
    </row>
    <row r="25" spans="2:8" ht="28.95" customHeight="1">
      <c r="B25" s="538"/>
      <c r="C25" s="518"/>
      <c r="D25" s="538"/>
      <c r="F25" s="1124" t="s">
        <v>1141</v>
      </c>
      <c r="G25" s="1118"/>
      <c r="H25" s="1118"/>
    </row>
    <row r="26" spans="2:8" ht="28.95" customHeight="1">
      <c r="B26" s="845" t="s">
        <v>1154</v>
      </c>
      <c r="C26" s="518"/>
      <c r="D26" s="845" t="s">
        <v>1155</v>
      </c>
      <c r="F26" s="1125"/>
      <c r="G26" s="1119"/>
      <c r="H26" s="1119"/>
    </row>
    <row r="27" spans="2:8" ht="28.95" customHeight="1">
      <c r="B27" s="538"/>
      <c r="C27" s="518"/>
      <c r="D27" s="538"/>
      <c r="F27" s="1126"/>
      <c r="G27" s="1120"/>
      <c r="H27" s="1120"/>
    </row>
    <row r="28" spans="2:8" ht="28.95" customHeight="1">
      <c r="B28" s="538"/>
      <c r="C28" s="518"/>
      <c r="D28" s="538"/>
      <c r="F28" s="1124" t="s">
        <v>1142</v>
      </c>
      <c r="G28" s="1121"/>
      <c r="H28" s="1121"/>
    </row>
    <row r="29" spans="2:8" ht="28.95" customHeight="1">
      <c r="B29" s="845" t="s">
        <v>1154</v>
      </c>
      <c r="C29" s="518"/>
      <c r="D29" s="845" t="s">
        <v>1155</v>
      </c>
      <c r="F29" s="1125"/>
      <c r="G29" s="1122"/>
      <c r="H29" s="1122"/>
    </row>
    <row r="30" spans="2:8" ht="28.95" customHeight="1">
      <c r="B30" s="538"/>
      <c r="C30" s="518"/>
      <c r="D30" s="538"/>
      <c r="F30" s="1126"/>
      <c r="G30" s="1123"/>
      <c r="H30" s="1123"/>
    </row>
    <row r="31" spans="2:8" ht="28.95" customHeight="1">
      <c r="B31" s="538"/>
      <c r="C31" s="518"/>
      <c r="D31" s="538"/>
      <c r="F31" s="1124" t="s">
        <v>1143</v>
      </c>
      <c r="G31" s="1121"/>
      <c r="H31" s="1121"/>
    </row>
    <row r="32" spans="2:8" ht="28.95" customHeight="1">
      <c r="B32" s="845" t="s">
        <v>1154</v>
      </c>
      <c r="C32" s="518"/>
      <c r="D32" s="845" t="s">
        <v>1155</v>
      </c>
      <c r="F32" s="1125"/>
      <c r="G32" s="1122"/>
      <c r="H32" s="1122"/>
    </row>
    <row r="33" spans="2:8" ht="28.95" customHeight="1">
      <c r="B33" s="538"/>
      <c r="C33" s="518"/>
      <c r="D33" s="538"/>
      <c r="F33" s="1126"/>
      <c r="G33" s="1123"/>
      <c r="H33" s="1123"/>
    </row>
    <row r="34" spans="2:8" ht="28.95" customHeight="1">
      <c r="B34" s="538"/>
      <c r="C34" s="518"/>
      <c r="D34" s="538"/>
      <c r="F34" s="1124" t="s">
        <v>1144</v>
      </c>
      <c r="G34" s="1118"/>
      <c r="H34" s="1118"/>
    </row>
    <row r="35" spans="2:8" ht="28.95" customHeight="1">
      <c r="B35" s="845" t="s">
        <v>1154</v>
      </c>
      <c r="C35" s="518"/>
      <c r="D35" s="845" t="s">
        <v>1155</v>
      </c>
      <c r="F35" s="1125"/>
      <c r="G35" s="1119"/>
      <c r="H35" s="1119"/>
    </row>
    <row r="36" spans="2:8" ht="28.95" customHeight="1">
      <c r="B36" s="538"/>
      <c r="C36" s="518"/>
      <c r="D36" s="538"/>
      <c r="F36" s="1126"/>
      <c r="G36" s="1120"/>
      <c r="H36" s="1120"/>
    </row>
    <row r="37" spans="2:8" ht="28.95" customHeight="1">
      <c r="B37" s="538"/>
      <c r="C37" s="518"/>
      <c r="D37" s="538"/>
      <c r="F37" s="1124" t="s">
        <v>1145</v>
      </c>
      <c r="G37" s="1118"/>
      <c r="H37" s="1118"/>
    </row>
    <row r="38" spans="2:8" ht="28.95" customHeight="1">
      <c r="B38" s="845" t="s">
        <v>1154</v>
      </c>
      <c r="C38" s="518"/>
      <c r="D38" s="845" t="s">
        <v>1155</v>
      </c>
      <c r="F38" s="1125"/>
      <c r="G38" s="1119"/>
      <c r="H38" s="1119"/>
    </row>
    <row r="39" spans="2:8" ht="28.95" customHeight="1">
      <c r="B39" s="538"/>
      <c r="C39" s="518"/>
      <c r="D39" s="538"/>
      <c r="F39" s="1126"/>
      <c r="G39" s="1120"/>
      <c r="H39" s="1120"/>
    </row>
    <row r="40" spans="2:8" ht="28.95" customHeight="1">
      <c r="B40" s="538"/>
      <c r="C40" s="518"/>
      <c r="D40" s="538"/>
      <c r="F40" s="1124" t="s">
        <v>1146</v>
      </c>
      <c r="G40" s="1118"/>
      <c r="H40" s="1118"/>
    </row>
    <row r="41" spans="2:8" ht="28.95" customHeight="1">
      <c r="B41" s="845" t="s">
        <v>1154</v>
      </c>
      <c r="C41" s="518"/>
      <c r="D41" s="845" t="s">
        <v>1155</v>
      </c>
      <c r="F41" s="1125"/>
      <c r="G41" s="1119"/>
      <c r="H41" s="1119"/>
    </row>
    <row r="42" spans="2:8" ht="28.95" customHeight="1">
      <c r="B42" s="538"/>
      <c r="C42" s="518"/>
      <c r="D42" s="538"/>
      <c r="F42" s="1126"/>
      <c r="G42" s="1120"/>
      <c r="H42" s="1120"/>
    </row>
    <row r="43" spans="2:8" ht="28.95" customHeight="1">
      <c r="B43" s="538"/>
      <c r="C43" s="518"/>
      <c r="D43" s="538"/>
      <c r="F43" s="1124" t="s">
        <v>1147</v>
      </c>
      <c r="G43" s="1118"/>
      <c r="H43" s="1118"/>
    </row>
    <row r="44" spans="2:8" ht="28.95" customHeight="1">
      <c r="B44" s="845" t="s">
        <v>1154</v>
      </c>
      <c r="C44" s="518"/>
      <c r="D44" s="845" t="s">
        <v>1155</v>
      </c>
      <c r="F44" s="1125"/>
      <c r="G44" s="1119"/>
      <c r="H44" s="1119"/>
    </row>
    <row r="45" spans="2:8" ht="28.95" customHeight="1">
      <c r="B45" s="538"/>
      <c r="C45" s="518"/>
      <c r="D45" s="538"/>
      <c r="F45" s="1126"/>
      <c r="G45" s="1120"/>
      <c r="H45" s="1120"/>
    </row>
    <row r="46" spans="2:8" ht="28.95" customHeight="1">
      <c r="B46" s="538"/>
      <c r="C46" s="518"/>
      <c r="D46" s="538"/>
      <c r="F46" s="1124" t="s">
        <v>1148</v>
      </c>
      <c r="G46" s="1118"/>
      <c r="H46" s="1118"/>
    </row>
    <row r="47" spans="2:8" ht="28.95" customHeight="1">
      <c r="B47" s="845" t="s">
        <v>1154</v>
      </c>
      <c r="C47" s="518"/>
      <c r="D47" s="845" t="s">
        <v>1155</v>
      </c>
      <c r="F47" s="1125"/>
      <c r="G47" s="1119"/>
      <c r="H47" s="1119"/>
    </row>
    <row r="48" spans="2:8" ht="28.95" customHeight="1">
      <c r="B48" s="538"/>
      <c r="C48" s="518"/>
      <c r="D48" s="538"/>
      <c r="F48" s="1126"/>
      <c r="G48" s="1120"/>
      <c r="H48" s="1120"/>
    </row>
    <row r="49" spans="2:8" ht="28.95" customHeight="1">
      <c r="B49" s="538"/>
      <c r="C49" s="518"/>
      <c r="D49" s="538"/>
      <c r="F49" s="1124" t="s">
        <v>1125</v>
      </c>
      <c r="G49" s="1118"/>
      <c r="H49" s="1118"/>
    </row>
    <row r="50" spans="2:8" ht="28.95" customHeight="1">
      <c r="B50" s="845" t="s">
        <v>1154</v>
      </c>
      <c r="C50" s="518"/>
      <c r="D50" s="845" t="s">
        <v>1155</v>
      </c>
      <c r="F50" s="1125"/>
      <c r="G50" s="1119"/>
      <c r="H50" s="1119"/>
    </row>
    <row r="51" spans="2:8" ht="28.95" customHeight="1">
      <c r="B51" s="538"/>
      <c r="C51" s="518"/>
      <c r="D51" s="538"/>
      <c r="F51" s="1126"/>
      <c r="G51" s="1120"/>
      <c r="H51" s="1120"/>
    </row>
    <row r="52" spans="2:8" ht="28.95" customHeight="1">
      <c r="B52" s="538"/>
      <c r="C52" s="518"/>
      <c r="D52" s="538"/>
      <c r="F52" s="1124" t="s">
        <v>1149</v>
      </c>
      <c r="G52" s="1118"/>
      <c r="H52" s="1118"/>
    </row>
    <row r="53" spans="2:8" ht="28.95" customHeight="1">
      <c r="B53" s="845" t="s">
        <v>1154</v>
      </c>
      <c r="C53" s="518"/>
      <c r="D53" s="845" t="s">
        <v>1155</v>
      </c>
      <c r="F53" s="1125"/>
      <c r="G53" s="1119"/>
      <c r="H53" s="1119"/>
    </row>
    <row r="54" spans="2:8" ht="28.95" customHeight="1">
      <c r="B54" s="538"/>
      <c r="C54" s="518"/>
      <c r="D54" s="538"/>
      <c r="F54" s="1126"/>
      <c r="G54" s="1120"/>
      <c r="H54" s="1120"/>
    </row>
    <row r="55" spans="2:8" ht="28.95" customHeight="1">
      <c r="B55" s="538"/>
      <c r="C55" s="518"/>
      <c r="D55" s="538"/>
      <c r="F55" s="1124" t="s">
        <v>1150</v>
      </c>
      <c r="G55" s="1118"/>
      <c r="H55" s="1118"/>
    </row>
    <row r="56" spans="2:8" ht="28.95" customHeight="1">
      <c r="B56" s="845" t="s">
        <v>1154</v>
      </c>
      <c r="C56" s="518"/>
      <c r="D56" s="845" t="s">
        <v>1155</v>
      </c>
      <c r="F56" s="1125"/>
      <c r="G56" s="1119"/>
      <c r="H56" s="1119"/>
    </row>
    <row r="57" spans="2:8" ht="28.95" customHeight="1">
      <c r="B57" s="538"/>
      <c r="C57" s="518"/>
      <c r="D57" s="538"/>
      <c r="F57" s="1126"/>
      <c r="G57" s="1120"/>
      <c r="H57" s="1120"/>
    </row>
    <row r="58" spans="2:8" ht="28.95" customHeight="1">
      <c r="B58" s="538"/>
      <c r="C58" s="518"/>
      <c r="D58" s="538"/>
      <c r="F58" s="1124" t="s">
        <v>1151</v>
      </c>
      <c r="G58" s="1118"/>
      <c r="H58" s="1118"/>
    </row>
    <row r="59" spans="2:8" ht="28.95" customHeight="1">
      <c r="B59" s="845" t="s">
        <v>1154</v>
      </c>
      <c r="C59" s="518"/>
      <c r="D59" s="845" t="s">
        <v>1155</v>
      </c>
      <c r="F59" s="1125"/>
      <c r="G59" s="1119"/>
      <c r="H59" s="1119"/>
    </row>
    <row r="60" spans="2:8" ht="28.95" customHeight="1">
      <c r="B60" s="538"/>
      <c r="C60" s="518"/>
      <c r="D60" s="538"/>
      <c r="F60" s="1126"/>
      <c r="G60" s="1120"/>
      <c r="H60" s="1120"/>
    </row>
    <row r="61" spans="2:8" ht="28.95" customHeight="1">
      <c r="B61" s="538"/>
      <c r="C61" s="518"/>
      <c r="D61" s="538"/>
      <c r="F61" s="1124" t="s">
        <v>1152</v>
      </c>
      <c r="G61" s="1118"/>
      <c r="H61" s="1118"/>
    </row>
    <row r="62" spans="2:8" ht="28.95" customHeight="1">
      <c r="B62" s="845" t="s">
        <v>1154</v>
      </c>
      <c r="C62" s="518"/>
      <c r="D62" s="845" t="s">
        <v>1155</v>
      </c>
      <c r="F62" s="1125"/>
      <c r="G62" s="1119"/>
      <c r="H62" s="1119"/>
    </row>
    <row r="63" spans="2:8" ht="28.95" customHeight="1">
      <c r="B63" s="538"/>
      <c r="C63" s="518"/>
      <c r="D63" s="538"/>
      <c r="F63" s="1126"/>
      <c r="G63" s="1120"/>
      <c r="H63" s="1120"/>
    </row>
    <row r="64" spans="2:8" ht="28.95" customHeight="1">
      <c r="B64" s="538"/>
      <c r="C64" s="518"/>
      <c r="D64" s="538"/>
      <c r="F64" s="1124" t="s">
        <v>1153</v>
      </c>
      <c r="G64" s="1118"/>
      <c r="H64" s="1118"/>
    </row>
    <row r="65" spans="2:8" ht="28.95" customHeight="1">
      <c r="B65" s="845" t="s">
        <v>1154</v>
      </c>
      <c r="C65" s="518"/>
      <c r="D65" s="845" t="s">
        <v>1155</v>
      </c>
      <c r="F65" s="1125"/>
      <c r="G65" s="1119"/>
      <c r="H65" s="1119"/>
    </row>
    <row r="66" spans="2:8" ht="28.95" customHeight="1">
      <c r="B66" s="538"/>
      <c r="C66" s="518"/>
      <c r="D66" s="538"/>
      <c r="F66" s="1126"/>
      <c r="G66" s="1120"/>
      <c r="H66" s="1120"/>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384" width="9.10937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8" thickBot="1">
      <c r="H6" s="11"/>
    </row>
    <row r="7" spans="1:16" ht="13.8" thickBot="1">
      <c r="A7" s="11" t="s">
        <v>112</v>
      </c>
      <c r="B7" s="12">
        <v>1</v>
      </c>
      <c r="C7" s="9" t="s">
        <v>70</v>
      </c>
      <c r="D7" s="9">
        <f>MATCH(C7,A2:A4,0)</f>
        <v>1</v>
      </c>
      <c r="H7" s="11"/>
    </row>
    <row r="8" spans="1:16" ht="13.8" thickBot="1">
      <c r="A8" s="11"/>
      <c r="E8" s="9">
        <f>INDEX($B$2:$D$4,MATCH(C7,A2:A4,0),MATCH(C9,B1:D1,0))</f>
        <v>1336.8055610095364</v>
      </c>
      <c r="H8" s="11"/>
    </row>
    <row r="9" spans="1:16" ht="13.8"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5.6">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8" thickBot="1"/>
    <row r="22" spans="1:5" ht="13.8" thickBot="1">
      <c r="A22" s="11" t="s">
        <v>117</v>
      </c>
      <c r="B22" s="12">
        <v>5</v>
      </c>
      <c r="C22" s="9" t="s">
        <v>71</v>
      </c>
      <c r="D22" s="9">
        <f>MATCH(C22,B16:D16,0)</f>
        <v>2</v>
      </c>
    </row>
    <row r="23" spans="1:5" ht="13.8" thickBot="1">
      <c r="A23" s="11"/>
      <c r="E23" s="9">
        <f>INDEX($B$2:$D$4,MATCH(C24,A2:A4,0),MATCH(C22,B1:D1,0))</f>
        <v>1000</v>
      </c>
    </row>
    <row r="24" spans="1:5" ht="13.8"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2 MG/Yr</v>
      </c>
    </row>
    <row r="79" spans="1:6" ht="13.8">
      <c r="B79" s="52"/>
      <c r="C79" s="52"/>
      <c r="D79" s="52"/>
      <c r="E79" s="9" t="str">
        <f>IFERROR("Total Cost of NRW = $"&amp;TEXT(SUM(D90,D91,D94,D95,D96,D97,D99),"#,###")&amp;"/Yr","")</f>
        <v>Total Cost of NRW = $3,328/Yr</v>
      </c>
      <c r="F79" s="52"/>
    </row>
    <row r="80" spans="1:6">
      <c r="A80"/>
      <c r="B80"/>
      <c r="C80" s="53" t="str">
        <f>"Volume ("&amp;Worksheet!J15&amp;")"</f>
        <v>Volume (MG/Yr)</v>
      </c>
      <c r="D80" s="53" t="s">
        <v>147</v>
      </c>
      <c r="E80" s="94" t="s">
        <v>1085</v>
      </c>
      <c r="F80"/>
    </row>
    <row r="81" spans="1:6">
      <c r="A81" s="46" t="s">
        <v>127</v>
      </c>
      <c r="B81" s="46"/>
      <c r="C81" s="122">
        <f>IF(Dashboard!BO$2&gt;0,"",Worksheet!H15)</f>
        <v>6.2439999999999998</v>
      </c>
      <c r="D81" s="123">
        <f>IF(Dashboard!BO$2&gt;0,"",C81*(Worksheet!$H$77))</f>
        <v>8054.3853600000002</v>
      </c>
      <c r="E81" s="605">
        <f>D81</f>
        <v>8054.3853600000002</v>
      </c>
      <c r="F81" s="84" t="s">
        <v>1084</v>
      </c>
    </row>
    <row r="82" spans="1:6">
      <c r="A82" s="46" t="str">
        <f>A81&amp;" MA"</f>
        <v>Vol. from own sources: MA</v>
      </c>
      <c r="B82" s="46"/>
      <c r="C82" s="122">
        <f>IF(Dashboard!BO$2&gt;0,"",Worksheet!X15)</f>
        <v>1.2487999999999999E-2</v>
      </c>
      <c r="D82" s="123">
        <f>IF(Dashboard!BO$2&gt;0,"",C82*(Worksheet!$H$77))</f>
        <v>16.108770719999999</v>
      </c>
      <c r="E82" s="605">
        <f t="shared" ref="E82:E100" si="0">D82</f>
        <v>16.108770719999999</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6.2565130260521036</v>
      </c>
      <c r="D87" s="123">
        <f>IF(Dashboard!BO$2&gt;0,"",C87*(Worksheet!$H$77))</f>
        <v>8070.5264128256513</v>
      </c>
      <c r="E87" s="605">
        <f t="shared" si="0"/>
        <v>8070.5264128256513</v>
      </c>
      <c r="F87"/>
    </row>
    <row r="88" spans="1:6">
      <c r="A88" s="158" t="s">
        <v>1269</v>
      </c>
      <c r="B88"/>
      <c r="C88" s="122">
        <f>IF(Dashboard!BO$2&gt;0,"",Worksheet!H23)</f>
        <v>4.3600000000000003</v>
      </c>
      <c r="D88" s="123">
        <f>IF(Dashboard!BO$2&gt;0,"",C88*(Worksheet!$H$76*1000))</f>
        <v>69716.400000000009</v>
      </c>
      <c r="E88" s="605">
        <f t="shared" si="0"/>
        <v>69716.400000000009</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6.0000000000000001E-3</v>
      </c>
      <c r="D90" s="951">
        <f>IF(Dashboard!BO$2&gt;0,"",IF(ISBLANK('Start Page'!AB22),"",IF(AND(ISBLANK(Worksheet!H77),Worksheet!Z77&lt;&gt;1),"",Worksheet!H25*(IF(Dashboard!BD29=FALSE,Worksheet!H77,IF(Dashboard!BD29=TRUE,Worksheet!H76*INDEX(Sheet1!B2:D4,MATCH('Start Page'!AB22,Sheet1!A2:A4,0),MATCH(Worksheet!J76,Sheet1!B1:D1,0)),""))))))</f>
        <v>7.7396400000000005</v>
      </c>
      <c r="E90" s="952">
        <f t="shared" si="0"/>
        <v>7.7396400000000005</v>
      </c>
      <c r="F90"/>
    </row>
    <row r="91" spans="1:6">
      <c r="A91" s="953" t="str">
        <f>"Unbilled Unmetered (UUAC) valued at "&amp;A76&amp;""</f>
        <v xml:space="preserve">Unbilled Unmetered (UUAC) valued at </v>
      </c>
      <c r="B91" s="949"/>
      <c r="C91" s="950">
        <f>IF(Dashboard!BO$2&gt;0,"",Worksheet!H26)</f>
        <v>2.4E-2</v>
      </c>
      <c r="D91" s="951">
        <f>IF(Dashboard!BO$2&gt;0,"",IF(ISBLANK('Start Page'!AB22),"",IF(AND(ISBLANK(Worksheet!H77),Worksheet!Z77&lt;&gt;1),"",Worksheet!H26*(IF(Dashboard!BD29=FALSE,Worksheet!H77,IF(Dashboard!BD29=TRUE,Worksheet!H76*INDEX(Sheet1!B2:D4,MATCH('Start Page'!AB22,Sheet1!A2:A4,0),MATCH(Worksheet!J76,Sheet1!B1:D1,0)),""))))))</f>
        <v>30.958560000000002</v>
      </c>
      <c r="E91" s="952">
        <f t="shared" si="0"/>
        <v>30.958560000000002</v>
      </c>
      <c r="F91"/>
    </row>
    <row r="92" spans="1:6">
      <c r="A92" s="158" t="s">
        <v>2</v>
      </c>
      <c r="B92" s="125" t="s">
        <v>239</v>
      </c>
      <c r="C92" s="122">
        <f>IF(Dashboard!BO$2&gt;0,"",Worksheet!H30)</f>
        <v>4.3900000000000006</v>
      </c>
      <c r="D92" s="123">
        <f>IF(Dashboard!BO$2&gt;0,"",C92*(Worksheet!$H$76*1000))</f>
        <v>70196.100000000006</v>
      </c>
      <c r="E92" s="605">
        <f t="shared" si="0"/>
        <v>70196.100000000006</v>
      </c>
      <c r="F92"/>
    </row>
    <row r="93" spans="1:6">
      <c r="A93" t="s">
        <v>51</v>
      </c>
      <c r="B93"/>
      <c r="C93" s="122">
        <f>IF(Dashboard!BO$2&gt;0,"",Worksheet!H35)</f>
        <v>1.866513026052103</v>
      </c>
      <c r="D93" s="123"/>
      <c r="E93" s="605">
        <f t="shared" si="0"/>
        <v>0</v>
      </c>
      <c r="F93"/>
    </row>
    <row r="94" spans="1:6">
      <c r="A94" s="223" t="s">
        <v>678</v>
      </c>
      <c r="B94" s="46"/>
      <c r="C94" s="126">
        <f>IF(Dashboard!BO$2&gt;0,"",Worksheet!H43)</f>
        <v>1.0900000000000002E-2</v>
      </c>
      <c r="D94" s="127">
        <f>IF(Dashboard!BO$2&gt;0,"",IF(ISBLANK('Start Page'!AB22),"",IF(AND(ISBLANK(Worksheet!H77),Worksheet!Z77&lt;&gt;1),"",C94*Worksheet!H76*INDEX(Sheet1!B2:D4,MATCH('Start Page'!AB22,Sheet1!A2:A4,0),MATCH(Worksheet!J76,Sheet1!B1:D1,0)))))</f>
        <v>174.29100000000003</v>
      </c>
      <c r="E94" s="606">
        <f t="shared" si="0"/>
        <v>174.29100000000003</v>
      </c>
      <c r="F94" s="128"/>
    </row>
    <row r="95" spans="1:6">
      <c r="A95" s="935" t="s">
        <v>679</v>
      </c>
      <c r="B95" s="934"/>
      <c r="C95" s="936">
        <f>Worksheet!X50</f>
        <v>4.4040404040403658E-2</v>
      </c>
      <c r="D95" s="937">
        <f>IF(Dashboard!BO$2&gt;0,"",IF(ISBLANK('Start Page'!AB22),"",IF(AND(ISBLANK(Worksheet!H77),Worksheet!Z77&lt;&gt;1),"",C95*Worksheet!H76*INDEX(Sheet1!B2:D4,MATCH('Start Page'!AB22,Sheet1!A2:A4,0),MATCH(Worksheet!J76,Sheet1!B1:D1,0)))))</f>
        <v>704.20606060605451</v>
      </c>
      <c r="E95" s="938">
        <f t="shared" si="0"/>
        <v>704.20606060605451</v>
      </c>
      <c r="F95" s="128"/>
    </row>
    <row r="96" spans="1:6">
      <c r="A96" s="935" t="s">
        <v>1271</v>
      </c>
      <c r="B96" s="934"/>
      <c r="C96" s="936">
        <f>Worksheet!Y50</f>
        <v>6.0606060606060476E-5</v>
      </c>
      <c r="D96" s="937">
        <f>C96*input_VPC</f>
        <v>7.8178181818181647E-2</v>
      </c>
      <c r="E96" s="938">
        <f t="shared" si="0"/>
        <v>7.8178181818181647E-2</v>
      </c>
      <c r="F96" s="941" t="s">
        <v>1273</v>
      </c>
    </row>
    <row r="97" spans="1:7">
      <c r="A97" s="223" t="s">
        <v>680</v>
      </c>
      <c r="B97" s="46"/>
      <c r="C97" s="126">
        <f>IF(Dashboard!BO$2&gt;0,"",Worksheet!H39)</f>
        <v>5.0000000000000001E-3</v>
      </c>
      <c r="D97" s="127">
        <f>IF(Dashboard!BO$2&gt;0,"",IF(ISBLANK('Start Page'!AB22),"",IF(AND(ISBLANK(Worksheet!H77),Worksheet!Z77&lt;&gt;1),"",C97*Worksheet!H76*INDEX(Sheet1!B2:D4,MATCH('Start Page'!AB22,Sheet1!A2:A4,0),MATCH(Worksheet!J76,Sheet1!B1:D1,0)))))</f>
        <v>79.95</v>
      </c>
      <c r="E97" s="606">
        <f t="shared" si="0"/>
        <v>79.95</v>
      </c>
      <c r="F97" s="128"/>
    </row>
    <row r="98" spans="1:7">
      <c r="A98" s="945" t="s">
        <v>42</v>
      </c>
      <c r="B98" s="945"/>
      <c r="C98" s="946">
        <f>IF(Dashboard!BO$2&gt;0,"",Worksheet!H46)</f>
        <v>6.0001010101010194E-2</v>
      </c>
      <c r="D98" s="947">
        <f>IF(Dashboard!BO$2&gt;0,"",SUM(D94:D97))</f>
        <v>958.52523878787281</v>
      </c>
      <c r="E98" s="605">
        <f t="shared" si="0"/>
        <v>958.52523878787281</v>
      </c>
      <c r="F98"/>
    </row>
    <row r="99" spans="1:7">
      <c r="A99" s="54" t="str">
        <f>"Real Losses valued at "&amp;A76&amp;""</f>
        <v xml:space="preserve">Real Losses valued at </v>
      </c>
      <c r="B99" s="46"/>
      <c r="C99" s="126">
        <f>IF(Dashboard!BO$2&gt;0,"",Worksheet!H51)</f>
        <v>1.8065120159510928</v>
      </c>
      <c r="D99" s="939">
        <f>IF(Dashboard!BO$2&gt;0,"",Dashboard!N50)</f>
        <v>2330.2921098559527</v>
      </c>
      <c r="E99" s="606">
        <f t="shared" si="0"/>
        <v>2330.2921098559527</v>
      </c>
      <c r="F99" s="605"/>
    </row>
    <row r="100" spans="1:7">
      <c r="A100" t="s">
        <v>72</v>
      </c>
      <c r="B100"/>
      <c r="C100" s="122">
        <f>IF(Dashboard!BO$2&gt;0,"",Worksheet!H57)</f>
        <v>1.896513026052103</v>
      </c>
      <c r="D100" s="124">
        <f>IF(Dashboard!BO$2&gt;0,"",D98+D99+D90+D91)</f>
        <v>3327.5155486438252</v>
      </c>
      <c r="E100" s="605">
        <f t="shared" si="0"/>
        <v>3327.5155486438252</v>
      </c>
      <c r="F100"/>
      <c r="G100" s="129"/>
    </row>
    <row r="101" spans="1:7">
      <c r="A101" s="942"/>
    </row>
    <row r="102" spans="1:7">
      <c r="A102" s="942" t="s">
        <v>1272</v>
      </c>
      <c r="C102" s="943">
        <f>C95+C96</f>
        <v>4.4101010101009717E-2</v>
      </c>
      <c r="D102" s="129">
        <f>D95+D96</f>
        <v>704.28423878787271</v>
      </c>
      <c r="E102" s="129">
        <f>E95+E96</f>
        <v>704.28423878787271</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3.2"/>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2.332031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- 840 McEwensville</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5" customHeight="1" thickTop="1">
      <c r="B9" s="347"/>
      <c r="C9" s="348"/>
      <c r="D9" s="349" t="s">
        <v>1088</v>
      </c>
      <c r="E9" s="1148" t="s">
        <v>73</v>
      </c>
      <c r="F9" s="1149"/>
      <c r="G9" s="1150"/>
      <c r="H9" s="350" t="s">
        <v>676</v>
      </c>
      <c r="I9" s="5"/>
    </row>
    <row r="10" spans="2:16" ht="16.5" customHeight="1" thickBot="1">
      <c r="B10" s="347"/>
      <c r="C10" s="46"/>
      <c r="D10" s="351">
        <f>Worksheet!AG17</f>
        <v>0</v>
      </c>
      <c r="E10" s="1151"/>
      <c r="F10" s="1152"/>
      <c r="G10" s="1153"/>
      <c r="H10" s="352">
        <f>D10</f>
        <v>0</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4.3600000000000003</v>
      </c>
      <c r="H12" s="362"/>
      <c r="I12" s="5"/>
      <c r="K12" s="898"/>
    </row>
    <row r="13" spans="2:16" ht="22.5" customHeight="1">
      <c r="B13" s="1133"/>
      <c r="C13" s="363"/>
      <c r="D13" s="360"/>
      <c r="E13" s="1142"/>
      <c r="F13" s="365">
        <f>Worksheet!H23+Worksheet!H24</f>
        <v>4.3600000000000003</v>
      </c>
      <c r="G13" s="366" t="s">
        <v>1090</v>
      </c>
      <c r="H13" s="367">
        <f>SUM(G12+G14)</f>
        <v>4.3600000000000003</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4.3900000000000006</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6.0000000000000001E-3</v>
      </c>
      <c r="H16" s="1141"/>
      <c r="I16" s="5"/>
      <c r="K16" s="46"/>
    </row>
    <row r="17" spans="2:16" ht="22.5" customHeight="1">
      <c r="B17" s="377">
        <f>Worksheet!AG15</f>
        <v>6.2565130260521036</v>
      </c>
      <c r="C17" s="378"/>
      <c r="D17" s="379"/>
      <c r="E17" s="250"/>
      <c r="F17" s="380">
        <f>Worksheet!H25+Worksheet!H26</f>
        <v>0.03</v>
      </c>
      <c r="G17" s="364" t="s">
        <v>1092</v>
      </c>
      <c r="H17" s="362"/>
      <c r="I17" s="5"/>
      <c r="K17" s="46"/>
      <c r="L17" s="121"/>
      <c r="M17" s="121"/>
      <c r="N17" s="121"/>
      <c r="O17" s="121"/>
      <c r="P17" s="121"/>
    </row>
    <row r="18" spans="2:16" ht="15.75" customHeight="1">
      <c r="B18" s="375"/>
      <c r="C18" s="1154" t="s">
        <v>763</v>
      </c>
      <c r="D18" s="360"/>
      <c r="E18" s="381"/>
      <c r="F18" s="370"/>
      <c r="G18" s="382">
        <f>Worksheet!H26</f>
        <v>2.4E-2</v>
      </c>
      <c r="H18" s="362"/>
      <c r="I18" s="5"/>
      <c r="K18" s="46"/>
    </row>
    <row r="19" spans="2:16" ht="22.5" customHeight="1">
      <c r="B19" s="375"/>
      <c r="C19" s="1154"/>
      <c r="D19" s="383" t="s">
        <v>116</v>
      </c>
      <c r="E19" s="356"/>
      <c r="F19" s="384"/>
      <c r="G19" s="600" t="s">
        <v>695</v>
      </c>
      <c r="H19" s="385">
        <f>Worksheet!H25+Worksheet!H26+Worksheet!H46+Worksheet!H51</f>
        <v>1.896513026052103</v>
      </c>
      <c r="I19" s="5"/>
      <c r="K19" s="46"/>
      <c r="L19" s="121"/>
      <c r="M19" s="121"/>
      <c r="N19" s="121"/>
      <c r="O19" s="121"/>
      <c r="P19" s="121"/>
    </row>
    <row r="20" spans="2:16" ht="15.75" customHeight="1">
      <c r="B20" s="375"/>
      <c r="C20" s="386">
        <f>B17+B27</f>
        <v>6.2565130260521036</v>
      </c>
      <c r="D20" s="360"/>
      <c r="E20" s="250"/>
      <c r="F20" s="387" t="s">
        <v>52</v>
      </c>
      <c r="G20" s="376">
        <f>Worksheet!H39</f>
        <v>5.0000000000000001E-3</v>
      </c>
      <c r="H20" s="362"/>
      <c r="I20" s="5"/>
      <c r="K20" s="46"/>
    </row>
    <row r="21" spans="2:16" ht="14.25" customHeight="1">
      <c r="B21" s="388"/>
      <c r="C21" s="389"/>
      <c r="D21" s="386">
        <f>Worksheet!H19</f>
        <v>6.2565130260521036</v>
      </c>
      <c r="E21" s="390"/>
      <c r="F21" s="380">
        <f>Worksheet!H46</f>
        <v>6.0001010101010194E-2</v>
      </c>
      <c r="G21" s="364" t="s">
        <v>694</v>
      </c>
      <c r="H21" s="362"/>
      <c r="I21" s="5"/>
      <c r="K21" s="46"/>
      <c r="L21" s="121"/>
      <c r="M21" s="121"/>
      <c r="N21" s="121"/>
      <c r="O21" s="121"/>
      <c r="P21" s="121"/>
    </row>
    <row r="22" spans="2:16" ht="15.75" customHeight="1">
      <c r="B22" s="375"/>
      <c r="C22" s="359"/>
      <c r="D22" s="360"/>
      <c r="E22" s="250"/>
      <c r="F22" s="390"/>
      <c r="G22" s="391">
        <f>Worksheet!H41</f>
        <v>4.4101010101010196E-2</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1.0900000000000002E-2</v>
      </c>
      <c r="H24" s="362"/>
      <c r="I24" s="5"/>
      <c r="K24" s="46"/>
    </row>
    <row r="25" spans="2:16" ht="26.25" customHeight="1">
      <c r="B25" s="1132" t="s">
        <v>1087</v>
      </c>
      <c r="C25" s="363"/>
      <c r="D25" s="360"/>
      <c r="E25" s="393">
        <f>Worksheet!H53</f>
        <v>1.866513026052103</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v>
      </c>
      <c r="C27" s="378"/>
      <c r="D27" s="360"/>
      <c r="E27" s="250"/>
      <c r="F27" s="380">
        <f>Worksheet!H51</f>
        <v>1.8065120159510928</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4" thickBot="1">
      <c r="B30" s="396"/>
      <c r="C30" s="397"/>
      <c r="D30" s="398"/>
      <c r="E30" s="399"/>
      <c r="F30" s="400"/>
      <c r="G30" s="401" t="s">
        <v>123</v>
      </c>
      <c r="H30" s="402"/>
      <c r="I30" s="5"/>
    </row>
    <row r="31" spans="2:16" ht="14.4"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85" t="s">
        <v>784</v>
      </c>
      <c r="C2" s="1186"/>
      <c r="D2" s="1186"/>
      <c r="E2" s="1186"/>
      <c r="F2" s="1186"/>
      <c r="G2" s="1186"/>
      <c r="H2" s="1186"/>
      <c r="I2" s="1186"/>
      <c r="J2" s="1186"/>
      <c r="K2" s="1186"/>
      <c r="L2" s="1186"/>
      <c r="M2" s="1186"/>
      <c r="N2" s="1186"/>
      <c r="O2" s="1186"/>
      <c r="P2" s="1186"/>
      <c r="Q2" s="1186"/>
      <c r="R2" s="1186"/>
      <c r="S2" s="1187"/>
      <c r="T2" s="111"/>
    </row>
    <row r="3" spans="1:20" ht="5.4" customHeight="1">
      <c r="A3" s="118"/>
      <c r="B3" s="403"/>
      <c r="S3" s="404"/>
      <c r="T3" s="111"/>
    </row>
    <row r="4" spans="1:20" ht="17.100000000000001" customHeight="1">
      <c r="A4" s="118"/>
      <c r="B4" s="403"/>
      <c r="E4" s="52"/>
      <c r="F4" s="346" t="s">
        <v>64</v>
      </c>
      <c r="G4" s="1155" t="str">
        <f>IF(ISBLANK('Start Page'!AB9),"&lt;&lt; Please enter system details on the Start Page &gt;&gt;",'Start Page'!AB9&amp;IF(ISBLANK('Start Page'!AM28),"","  ("&amp;'Start Page'!AM28&amp;")"))</f>
        <v>PAW - 840 McEwensville</v>
      </c>
      <c r="H4" s="1156"/>
      <c r="I4" s="1156"/>
      <c r="J4" s="1156"/>
      <c r="K4" s="1156"/>
      <c r="L4" s="1156"/>
      <c r="M4" s="1156"/>
      <c r="N4" s="1156"/>
      <c r="O4" s="1157"/>
      <c r="S4" s="404"/>
      <c r="T4" s="111"/>
    </row>
    <row r="5" spans="1:20" ht="17.100000000000001" customHeight="1">
      <c r="A5" s="118"/>
      <c r="B5" s="403"/>
      <c r="E5"/>
      <c r="F5" s="346" t="s">
        <v>714</v>
      </c>
      <c r="G5" s="405">
        <f>IF(ISBLANK('Start Page'!AB18),"",'Start Page'!AB18)</f>
        <v>2025</v>
      </c>
      <c r="H5" s="1174" t="str">
        <f>IF(ISBLANK('Start Page'!AB20),"",TEXT('Start Page'!AB20,"mmm dd yyyy")&amp;" - "&amp;TEXT('Start Page'!AB21,"mmm dd yyyy"))</f>
        <v>Jan 01 2025 - Dec 31 2025</v>
      </c>
      <c r="I5" s="1175"/>
      <c r="J5" s="1176"/>
      <c r="K5" s="894"/>
      <c r="L5" s="894"/>
      <c r="M5" s="894"/>
      <c r="N5" s="894"/>
      <c r="O5" s="894"/>
      <c r="S5" s="404"/>
      <c r="T5" s="111"/>
    </row>
    <row r="6" spans="1:20" ht="17.100000000000001" customHeight="1">
      <c r="A6" s="118"/>
      <c r="B6" s="403"/>
      <c r="E6"/>
      <c r="F6" s="346" t="s">
        <v>681</v>
      </c>
      <c r="G6" s="1171" t="str">
        <f>IF(OR(ISBLANK('Start Page'!AB22:AL22),'M36 Refs'!AN118&gt;0),"Additional data entry required",Dashboard!BR4)</f>
        <v>Tier V (91-100)</v>
      </c>
      <c r="H6" s="1172"/>
      <c r="I6" s="1173"/>
      <c r="J6" s="894"/>
      <c r="K6" s="894"/>
      <c r="L6" s="894"/>
      <c r="M6" s="894"/>
      <c r="N6" s="894"/>
      <c r="O6" s="894"/>
      <c r="S6" s="404"/>
      <c r="T6" s="111"/>
    </row>
    <row r="7" spans="1:20" ht="6" customHeight="1" thickBot="1">
      <c r="A7" s="118"/>
      <c r="B7" s="403"/>
      <c r="S7" s="404"/>
      <c r="T7" s="111"/>
    </row>
    <row r="8" spans="1:20" ht="26.1" customHeight="1" thickBot="1">
      <c r="A8" s="118"/>
      <c r="B8" s="403"/>
      <c r="C8" s="1158" t="s">
        <v>62</v>
      </c>
      <c r="D8" s="1159"/>
      <c r="E8" s="1159"/>
      <c r="F8" s="1159"/>
      <c r="G8" s="1159"/>
      <c r="H8" s="1159"/>
      <c r="I8" s="1159"/>
      <c r="J8" s="1159"/>
      <c r="K8" s="1159"/>
      <c r="L8" s="1159"/>
      <c r="M8" s="1159"/>
      <c r="N8" s="1159"/>
      <c r="O8" s="1159"/>
      <c r="P8" s="1159"/>
      <c r="Q8" s="1159"/>
      <c r="R8" s="1160"/>
      <c r="S8" s="404"/>
      <c r="T8" s="111"/>
    </row>
    <row r="9" spans="1:20" ht="18.75" customHeight="1" thickTop="1">
      <c r="A9" s="118"/>
      <c r="B9" s="403"/>
      <c r="C9" s="406"/>
      <c r="D9" s="1167" t="s">
        <v>715</v>
      </c>
      <c r="E9" s="1168"/>
      <c r="F9" s="1168"/>
      <c r="G9" s="1168"/>
      <c r="H9" s="1168"/>
      <c r="I9" s="1168"/>
      <c r="J9" s="1168"/>
      <c r="K9" s="1168"/>
      <c r="L9" s="1168"/>
      <c r="M9" s="1168"/>
      <c r="N9" s="1168"/>
      <c r="O9" s="1168"/>
      <c r="P9" s="1168"/>
      <c r="Q9" s="1168"/>
      <c r="R9" s="1169"/>
      <c r="S9" s="404"/>
      <c r="T9" s="111"/>
    </row>
    <row r="10" spans="1:20" ht="34.5" customHeight="1" thickBot="1">
      <c r="A10" s="118"/>
      <c r="B10" s="403"/>
      <c r="C10" s="407" t="s">
        <v>63</v>
      </c>
      <c r="D10" s="1170" t="s">
        <v>782</v>
      </c>
      <c r="E10" s="1165"/>
      <c r="F10" s="1166"/>
      <c r="G10" s="1164" t="s">
        <v>261</v>
      </c>
      <c r="H10" s="1165"/>
      <c r="I10" s="1166"/>
      <c r="J10" s="1164" t="s">
        <v>262</v>
      </c>
      <c r="K10" s="1165"/>
      <c r="L10" s="1166"/>
      <c r="M10" s="1164" t="s">
        <v>263</v>
      </c>
      <c r="N10" s="1165"/>
      <c r="O10" s="1166"/>
      <c r="P10" s="1164" t="s">
        <v>264</v>
      </c>
      <c r="Q10" s="1165"/>
      <c r="R10" s="1199"/>
      <c r="S10" s="404"/>
      <c r="T10" s="111"/>
    </row>
    <row r="11" spans="1:20" ht="61.95" customHeight="1" thickTop="1">
      <c r="A11" s="118"/>
      <c r="B11" s="403"/>
      <c r="C11" s="408" t="s">
        <v>68</v>
      </c>
      <c r="D11" s="1201" t="s">
        <v>1115</v>
      </c>
      <c r="E11" s="1162"/>
      <c r="F11" s="1200"/>
      <c r="G11" s="1161" t="s">
        <v>1114</v>
      </c>
      <c r="H11" s="1162"/>
      <c r="I11" s="1200"/>
      <c r="J11" s="1161" t="s">
        <v>69</v>
      </c>
      <c r="K11" s="1162"/>
      <c r="L11" s="1163"/>
      <c r="M11" s="1161" t="s">
        <v>18</v>
      </c>
      <c r="N11" s="1162"/>
      <c r="O11" s="1163"/>
      <c r="P11" s="1161" t="s">
        <v>19</v>
      </c>
      <c r="Q11" s="1162"/>
      <c r="R11" s="1163"/>
      <c r="S11" s="404"/>
      <c r="T11" s="111"/>
    </row>
    <row r="12" spans="1:20" ht="78" customHeight="1">
      <c r="A12" s="118"/>
      <c r="B12" s="403"/>
      <c r="C12" s="409" t="s">
        <v>20</v>
      </c>
      <c r="D12" s="1198" t="s">
        <v>1116</v>
      </c>
      <c r="E12" s="1178"/>
      <c r="F12" s="1183"/>
      <c r="G12" s="1177" t="s">
        <v>1113</v>
      </c>
      <c r="H12" s="1178"/>
      <c r="I12" s="1183"/>
      <c r="J12" s="1177" t="s">
        <v>21</v>
      </c>
      <c r="K12" s="1178"/>
      <c r="L12" s="1179"/>
      <c r="M12" s="1177" t="s">
        <v>22</v>
      </c>
      <c r="N12" s="1178"/>
      <c r="O12" s="1179"/>
      <c r="P12" s="1177" t="s">
        <v>125</v>
      </c>
      <c r="Q12" s="1178"/>
      <c r="R12" s="1179"/>
      <c r="S12" s="404"/>
      <c r="T12" s="111"/>
    </row>
    <row r="13" spans="1:20" ht="105.75" customHeight="1">
      <c r="A13" s="118"/>
      <c r="B13" s="403"/>
      <c r="C13" s="409" t="s">
        <v>126</v>
      </c>
      <c r="D13" s="1180"/>
      <c r="E13" s="1181"/>
      <c r="F13" s="1182"/>
      <c r="G13" s="1177" t="s">
        <v>1111</v>
      </c>
      <c r="H13" s="1178"/>
      <c r="I13" s="1183"/>
      <c r="J13" s="1177" t="s">
        <v>1112</v>
      </c>
      <c r="K13" s="1178"/>
      <c r="L13" s="1179"/>
      <c r="M13" s="1177" t="s">
        <v>67</v>
      </c>
      <c r="N13" s="1178"/>
      <c r="O13" s="1179"/>
      <c r="P13" s="1177" t="s">
        <v>34</v>
      </c>
      <c r="Q13" s="1178"/>
      <c r="R13" s="1179"/>
      <c r="S13" s="404"/>
      <c r="T13" s="111"/>
    </row>
    <row r="14" spans="1:20" ht="68.25" customHeight="1">
      <c r="A14" s="118"/>
      <c r="B14" s="403"/>
      <c r="C14" s="409" t="s">
        <v>35</v>
      </c>
      <c r="D14" s="1180"/>
      <c r="E14" s="1181"/>
      <c r="F14" s="1182"/>
      <c r="G14" s="1184"/>
      <c r="H14" s="1181"/>
      <c r="I14" s="1182"/>
      <c r="J14" s="1177" t="s">
        <v>36</v>
      </c>
      <c r="K14" s="1178"/>
      <c r="L14" s="1179"/>
      <c r="M14" s="1177" t="s">
        <v>37</v>
      </c>
      <c r="N14" s="1178"/>
      <c r="O14" s="1179"/>
      <c r="P14" s="1177" t="s">
        <v>38</v>
      </c>
      <c r="Q14" s="1178"/>
      <c r="R14" s="1179"/>
      <c r="S14" s="404"/>
      <c r="T14" s="111"/>
    </row>
    <row r="15" spans="1:20" ht="84" customHeight="1" thickBot="1">
      <c r="A15" s="118"/>
      <c r="B15" s="403"/>
      <c r="C15" s="410" t="s">
        <v>39</v>
      </c>
      <c r="D15" s="1191"/>
      <c r="E15" s="1192"/>
      <c r="F15" s="1193"/>
      <c r="G15" s="1194"/>
      <c r="H15" s="1192"/>
      <c r="I15" s="1193"/>
      <c r="J15" s="1195" t="s">
        <v>1097</v>
      </c>
      <c r="K15" s="1196"/>
      <c r="L15" s="1197"/>
      <c r="M15" s="1195" t="s">
        <v>1098</v>
      </c>
      <c r="N15" s="1196"/>
      <c r="O15" s="1197"/>
      <c r="P15" s="1195" t="s">
        <v>1099</v>
      </c>
      <c r="Q15" s="1196"/>
      <c r="R15" s="1197"/>
      <c r="S15" s="404"/>
      <c r="T15" s="111"/>
    </row>
    <row r="16" spans="1:20" ht="21" customHeight="1" thickTop="1" thickBot="1">
      <c r="A16" s="118"/>
      <c r="B16" s="403"/>
      <c r="C16" s="1188" t="s">
        <v>124</v>
      </c>
      <c r="D16" s="1189"/>
      <c r="E16" s="1189"/>
      <c r="F16" s="1189"/>
      <c r="G16" s="1189"/>
      <c r="H16" s="1189"/>
      <c r="I16" s="1189"/>
      <c r="J16" s="1189"/>
      <c r="K16" s="1189"/>
      <c r="L16" s="1189"/>
      <c r="M16" s="1189"/>
      <c r="N16" s="1189"/>
      <c r="O16" s="1189"/>
      <c r="P16" s="1189"/>
      <c r="Q16" s="1189"/>
      <c r="R16" s="1190"/>
      <c r="S16" s="404"/>
      <c r="T16" s="111"/>
    </row>
    <row r="17" spans="1:22" ht="13.2"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2"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2"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3.2"/>
  <cols>
    <col min="1" max="1" width="28.6640625" style="74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51" t="s">
        <v>1059</v>
      </c>
      <c r="B1" s="752" t="s">
        <v>1060</v>
      </c>
    </row>
    <row r="2" spans="1:2" ht="108.6">
      <c r="A2" s="749" t="s">
        <v>1050</v>
      </c>
      <c r="B2" s="744" t="s">
        <v>1049</v>
      </c>
    </row>
    <row r="3" spans="1:2" ht="28.35" customHeight="1">
      <c r="B3" s="745"/>
    </row>
    <row r="4" spans="1:2" ht="60">
      <c r="A4" s="749" t="s">
        <v>1052</v>
      </c>
      <c r="B4" s="744" t="s">
        <v>1051</v>
      </c>
    </row>
    <row r="5" spans="1:2">
      <c r="B5" s="746"/>
    </row>
    <row r="6" spans="1:2" ht="76.8">
      <c r="A6" s="749" t="s">
        <v>1054</v>
      </c>
      <c r="B6" s="747" t="s">
        <v>1053</v>
      </c>
    </row>
    <row r="7" spans="1:2">
      <c r="B7" s="746"/>
    </row>
    <row r="8" spans="1:2" ht="155.4">
      <c r="A8" s="749" t="s">
        <v>1056</v>
      </c>
      <c r="B8" s="744" t="s">
        <v>1055</v>
      </c>
    </row>
    <row r="9" spans="1:2">
      <c r="B9" s="746"/>
    </row>
    <row r="10" spans="1:2" ht="240">
      <c r="A10" s="750" t="s">
        <v>1057</v>
      </c>
      <c r="B10" s="748" t="s">
        <v>1058</v>
      </c>
    </row>
    <row r="12" spans="1:2" ht="150">
      <c r="A12" s="749" t="s">
        <v>1062</v>
      </c>
      <c r="B12" s="744" t="s">
        <v>1061</v>
      </c>
    </row>
    <row r="13" spans="1:2">
      <c r="B13" s="745"/>
    </row>
    <row r="14" spans="1:2" ht="46.8">
      <c r="A14" s="749" t="s">
        <v>1064</v>
      </c>
      <c r="B14" s="747" t="s">
        <v>1063</v>
      </c>
    </row>
    <row r="15" spans="1:2">
      <c r="B15" s="746"/>
    </row>
    <row r="16" spans="1:2" ht="63.6">
      <c r="A16" s="749" t="s">
        <v>1066</v>
      </c>
      <c r="B16" s="747" t="s">
        <v>1065</v>
      </c>
    </row>
    <row r="17" spans="1:2">
      <c r="B17" s="746"/>
    </row>
    <row r="18" spans="1:2" ht="106.8">
      <c r="A18" s="749" t="s">
        <v>1068</v>
      </c>
      <c r="B18" s="747" t="s">
        <v>1067</v>
      </c>
    </row>
    <row r="19" spans="1:2">
      <c r="B19" s="746"/>
    </row>
    <row r="20" spans="1:2" ht="78.599999999999994">
      <c r="A20" s="749" t="s">
        <v>1070</v>
      </c>
      <c r="B20" s="744" t="s">
        <v>1069</v>
      </c>
    </row>
    <row r="21" spans="1:2">
      <c r="B21" s="746"/>
    </row>
    <row r="22" spans="1:2" ht="93.6">
      <c r="A22" s="749" t="s">
        <v>1072</v>
      </c>
      <c r="B22" s="744" t="s">
        <v>1071</v>
      </c>
    </row>
    <row r="23" spans="1:2">
      <c r="B23" s="746"/>
    </row>
    <row r="24" spans="1:2" ht="93.6">
      <c r="A24" s="749" t="s">
        <v>1074</v>
      </c>
      <c r="B24" s="744" t="s">
        <v>1073</v>
      </c>
    </row>
    <row r="25" spans="1:2">
      <c r="B25" s="746"/>
    </row>
    <row r="26" spans="1:2" ht="60">
      <c r="A26" s="749" t="s">
        <v>1076</v>
      </c>
      <c r="B26" s="744" t="s">
        <v>1075</v>
      </c>
    </row>
    <row r="96" spans="34:34">
      <c r="AH96" s="37" t="s">
        <v>46</v>
      </c>
    </row>
    <row r="97" spans="28:40" ht="26.4">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34.930139720558877</v>
      </c>
      <c r="AF98" s="40">
        <f t="shared" ref="AF98:AF103" si="0">AE98</f>
        <v>34.930139720558877</v>
      </c>
      <c r="AG98" s="40">
        <f>IF(AE98&lt;&gt;0,AF98/10,0)</f>
        <v>3.4930139720558877</v>
      </c>
      <c r="AH98" s="40">
        <f>IFERROR(AD98*AG98,0)</f>
        <v>34.930139720558877</v>
      </c>
      <c r="AI98" s="40">
        <f t="shared" ref="AI98:AI117" si="1">IF(AG98=0,0,AF98-AH98)</f>
        <v>0</v>
      </c>
      <c r="AJ98">
        <f t="array" aca="1" ref="AJ98" ca="1">SUM(1*(AI98&lt;$AI$98:$AI$117))+1+IF(ROW(AI98)-ROW($AI$98)=0,0,SUM(1*(AI98=OFFSET($AI$98,0,0,INDEX(ROW(AI98)-ROW($AI$98)+1,1)-1,1))))</f>
        <v>6</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10</v>
      </c>
      <c r="AE99" s="64">
        <f>Worksheet!Z15</f>
        <v>6.9860279441117751E-2</v>
      </c>
      <c r="AF99" s="40">
        <f t="shared" si="0"/>
        <v>6.9860279441117751E-2</v>
      </c>
      <c r="AG99" s="40">
        <f t="shared" ref="AG99:AG117" si="3">IF(AE99&lt;&gt;0,AF99/10,0)</f>
        <v>6.9860279441117754E-3</v>
      </c>
      <c r="AH99" s="40">
        <f t="shared" ref="AH99:AH106" si="4">IFERROR(AD99*AG99,0)</f>
        <v>6.9860279441117751E-2</v>
      </c>
      <c r="AI99" s="40">
        <f t="shared" si="1"/>
        <v>0</v>
      </c>
      <c r="AJ99">
        <f t="array" aca="1" ref="AJ99" ca="1">SUM(1*(AI99&lt;$AI$98:$AI$117))+1+IF(ROW(AI99)-ROW($AI$98)=0,0,SUM(1*(AI99=OFFSET($AI$98,0,0,INDEX(ROW(AI99)-ROW($AI$98)+1,1)-1,1))))</f>
        <v>7</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8</v>
      </c>
      <c r="AK100" s="46" t="str">
        <f t="shared" si="5"/>
        <v>Water Imported (WI)</v>
      </c>
      <c r="AL100">
        <f t="shared" si="6"/>
        <v>0</v>
      </c>
      <c r="AM100">
        <f t="shared" si="7"/>
        <v>0</v>
      </c>
      <c r="AN100">
        <f t="shared" si="2"/>
        <v>0</v>
      </c>
    </row>
    <row r="101" spans="28:40">
      <c r="AC101" s="220" t="s">
        <v>702</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9</v>
      </c>
      <c r="AK101" s="46" t="str">
        <f t="shared" si="5"/>
        <v>WI Error Adjustment (WIEA)</v>
      </c>
      <c r="AL101">
        <f t="shared" si="6"/>
        <v>0</v>
      </c>
      <c r="AM101">
        <f t="shared" si="7"/>
        <v>0</v>
      </c>
      <c r="AN101">
        <f t="shared" si="2"/>
        <v>0</v>
      </c>
    </row>
    <row r="102" spans="28:40">
      <c r="AC102" s="216" t="s">
        <v>703</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10</v>
      </c>
      <c r="AK102" s="46" t="str">
        <f t="shared" si="5"/>
        <v>Water Exported (WE)</v>
      </c>
      <c r="AL102">
        <f t="shared" si="6"/>
        <v>0</v>
      </c>
      <c r="AM102">
        <f t="shared" si="7"/>
        <v>0</v>
      </c>
      <c r="AN102">
        <f t="shared" si="2"/>
        <v>0</v>
      </c>
    </row>
    <row r="103" spans="28:40">
      <c r="AC103" s="220" t="s">
        <v>704</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11</v>
      </c>
      <c r="AK103" s="85" t="str">
        <f t="shared" si="5"/>
        <v>WE Error Adjustment (WEEA)</v>
      </c>
      <c r="AL103">
        <f t="shared" si="6"/>
        <v>0</v>
      </c>
      <c r="AM103" s="68">
        <f t="shared" si="7"/>
        <v>0</v>
      </c>
      <c r="AN103" s="68">
        <f t="shared" si="2"/>
        <v>0</v>
      </c>
    </row>
    <row r="104" spans="28:40">
      <c r="AC104" s="217" t="s">
        <v>690</v>
      </c>
      <c r="AD104" s="73">
        <f>IF(Worksheet!F23="n/a",0,Worksheet!F23)</f>
        <v>9</v>
      </c>
      <c r="AE104" s="221">
        <f>IF(Worksheet!H23&gt;0,Worksheet!Y23,0)</f>
        <v>13.980760421438386</v>
      </c>
      <c r="AF104" s="75">
        <f t="shared" ref="AF104:AF117" si="8">AE104/$AE$120</f>
        <v>17.14621561119802</v>
      </c>
      <c r="AG104" s="75">
        <f t="shared" si="3"/>
        <v>1.7146215611198019</v>
      </c>
      <c r="AH104" s="75">
        <f t="shared" ref="AH104:AH117" si="9">AD104*AG104</f>
        <v>15.431594050078218</v>
      </c>
      <c r="AI104" s="75">
        <f t="shared" si="1"/>
        <v>1.7146215611198024</v>
      </c>
      <c r="AJ104" s="76">
        <f t="array" aca="1" ref="AJ104" ca="1">SUM(1*(AI104&lt;$AI$98:$AI$117))+1+IF(ROW(AI104)-ROW($AI$98)=0,0,SUM(1*(AI104=OFFSET($AI$98,0,0,INDEX(ROW(AI104)-ROW($AI$98)+1,1)-1,1))))</f>
        <v>3</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12</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1.9239578561612458E-2</v>
      </c>
      <c r="AF106" s="79">
        <f t="shared" si="8"/>
        <v>2.3595709556694523E-2</v>
      </c>
      <c r="AG106" s="79">
        <f t="shared" si="3"/>
        <v>2.3595709556694525E-3</v>
      </c>
      <c r="AH106" s="40">
        <f t="shared" si="4"/>
        <v>2.3595709556694523E-2</v>
      </c>
      <c r="AI106" s="79">
        <f t="shared" si="1"/>
        <v>0</v>
      </c>
      <c r="AJ106" s="80">
        <f t="array" aca="1" ref="AJ106" ca="1">SUM(1*(AI106&lt;$AI$98:$AI$117))+1+IF(ROW(AI106)-ROW($AI$98)=0,0,SUM(1*(AI106=OFFSET($AI$98,0,0,INDEX(ROW(AI106)-ROW($AI$98)+1,1)-1,1))))</f>
        <v>13</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2.4528301886792452</v>
      </c>
      <c r="AG107" s="71">
        <f t="shared" si="3"/>
        <v>0.24528301886792453</v>
      </c>
      <c r="AH107" s="71">
        <f t="shared" si="9"/>
        <v>2.4528301886792452</v>
      </c>
      <c r="AI107" s="71">
        <f t="shared" si="1"/>
        <v>0</v>
      </c>
      <c r="AJ107" s="72">
        <f t="array" aca="1" ref="AJ107" ca="1">SUM(1*(AI107&lt;$AI$98:$AI$117))+1+IF(ROW(AI107)-ROW($AI$98)=0,0,SUM(1*(AI107=OFFSET($AI$98,0,0,INDEX(ROW(AI107)-ROW($AI$98)+1,1)-1,1))))</f>
        <v>14</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3</v>
      </c>
      <c r="AE108" s="70">
        <v>3.5</v>
      </c>
      <c r="AF108" s="71">
        <f t="shared" si="8"/>
        <v>4.2924528301886795</v>
      </c>
      <c r="AG108" s="71">
        <f t="shared" si="3"/>
        <v>0.42924528301886794</v>
      </c>
      <c r="AH108" s="71">
        <f t="shared" si="9"/>
        <v>1.2877358490566038</v>
      </c>
      <c r="AI108" s="71">
        <f t="shared" si="1"/>
        <v>3.0047169811320757</v>
      </c>
      <c r="AJ108" s="72">
        <f t="array" aca="1" ref="AJ108" ca="1">SUM(1*(AI108&lt;$AI$98:$AI$117))+1+IF(ROW(AI108)-ROW($AI$98)=0,0,SUM(1*(AI108=OFFSET($AI$98,0,0,INDEX(ROW(AI108)-ROW($AI$98)+1,1)-1,1))))</f>
        <v>1</v>
      </c>
      <c r="AK108" s="88" t="str">
        <f t="shared" si="5"/>
        <v>Unauthorized Consumption (UC)</v>
      </c>
      <c r="AL108" s="72">
        <f t="shared" si="10"/>
        <v>1</v>
      </c>
      <c r="AM108" s="72">
        <f t="shared" si="7"/>
        <v>1</v>
      </c>
      <c r="AN108" s="72">
        <f t="shared" si="2"/>
        <v>0</v>
      </c>
    </row>
    <row r="109" spans="28:40">
      <c r="AC109" s="217" t="s">
        <v>694</v>
      </c>
      <c r="AD109" s="73">
        <f>IF(Worksheet!F41="n/a",0,Worksheet!F41)</f>
        <v>8</v>
      </c>
      <c r="AE109" s="74">
        <f>IF(AND(Worksheet!F41="n/a",Worksheet!H41=0),0,6)</f>
        <v>6</v>
      </c>
      <c r="AF109" s="75">
        <f t="shared" si="8"/>
        <v>7.3584905660377355</v>
      </c>
      <c r="AG109" s="75">
        <f t="shared" si="3"/>
        <v>0.73584905660377353</v>
      </c>
      <c r="AH109" s="75">
        <f t="shared" si="9"/>
        <v>5.8867924528301883</v>
      </c>
      <c r="AI109" s="75">
        <f t="shared" si="1"/>
        <v>1.4716981132075473</v>
      </c>
      <c r="AJ109" s="76">
        <f t="array" aca="1" ref="AJ109" ca="1">SUM(1*(AI109&lt;$AI$98:$AI$117))+1+IF(ROW(AI109)-ROW($AI$98)=0,0,SUM(1*(AI109=OFFSET($AI$98,0,0,INDEX(ROW(AI109)-ROW($AI$98)+1,1)-1,1))))</f>
        <v>4</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6</v>
      </c>
      <c r="AE110" s="70">
        <v>3.5</v>
      </c>
      <c r="AF110" s="71">
        <f t="shared" si="8"/>
        <v>4.2924528301886795</v>
      </c>
      <c r="AG110" s="71">
        <f t="shared" si="3"/>
        <v>0.42924528301886794</v>
      </c>
      <c r="AH110" s="71">
        <f t="shared" si="9"/>
        <v>2.5754716981132075</v>
      </c>
      <c r="AI110" s="71">
        <f t="shared" si="1"/>
        <v>1.716981132075472</v>
      </c>
      <c r="AJ110" s="72">
        <f t="array" aca="1" ref="AJ110" ca="1">SUM(1*(AI110&lt;$AI$98:$AI$117))+1+IF(ROW(AI110)-ROW($AI$98)=0,0,SUM(1*(AI110=OFFSET($AI$98,0,0,INDEX(ROW(AI110)-ROW($AI$98)+1,1)-1,1))))</f>
        <v>2</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15</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16</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17</v>
      </c>
      <c r="AK113" s="88" t="str">
        <f t="shared" si="5"/>
        <v>Average Length of Customer Service Line (Lp)</v>
      </c>
      <c r="AL113" s="72">
        <f t="shared" si="10"/>
        <v>1</v>
      </c>
      <c r="AM113" s="72">
        <f t="shared" si="7"/>
        <v>1</v>
      </c>
      <c r="AN113" s="72">
        <f t="shared" si="2"/>
        <v>0</v>
      </c>
    </row>
    <row r="114" spans="29:40">
      <c r="AC114" s="219" t="s">
        <v>699</v>
      </c>
      <c r="AD114" s="69">
        <f>Worksheet!F68</f>
        <v>8</v>
      </c>
      <c r="AE114" s="70">
        <v>2</v>
      </c>
      <c r="AF114" s="71">
        <f t="shared" si="8"/>
        <v>2.4528301886792452</v>
      </c>
      <c r="AG114" s="71">
        <f t="shared" si="3"/>
        <v>0.24528301886792453</v>
      </c>
      <c r="AH114" s="71">
        <f t="shared" si="9"/>
        <v>1.9622641509433962</v>
      </c>
      <c r="AI114" s="71">
        <f t="shared" si="1"/>
        <v>0.49056603773584895</v>
      </c>
      <c r="AJ114" s="72">
        <f t="array" aca="1" ref="AJ114" ca="1">SUM(1*(AI114&lt;$AI$98:$AI$117))+1+IF(ROW(AI114)-ROW($AI$98)=0,0,SUM(1*(AI114=OFFSET($AI$98,0,0,INDEX(ROW(AI114)-ROW($AI$98)+1,1)-1,1))))</f>
        <v>5</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87.999999999999986</v>
      </c>
      <c r="AF118" s="39">
        <f>SUM(AF98:AF117)</f>
        <v>100</v>
      </c>
      <c r="AG118" s="39">
        <f>SUM(AG98:AG117)</f>
        <v>9.9999999999999982</v>
      </c>
      <c r="AH118" s="93">
        <f>SUM(AH98:AH117)</f>
        <v>91.601416174729238</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1</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9.6">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49" zoomScale="115" zoomScaleNormal="115" zoomScaleSheetLayoutView="100" workbookViewId="0">
      <selection activeCell="C61" sqref="C61:L61"/>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204" t="s">
        <v>163</v>
      </c>
      <c r="C2" s="1205"/>
      <c r="D2" s="1205"/>
      <c r="E2" s="1205"/>
      <c r="F2" s="1205"/>
      <c r="G2" s="1205"/>
      <c r="H2" s="1205"/>
      <c r="I2" s="1205"/>
      <c r="J2" s="1205"/>
      <c r="K2" s="1205"/>
      <c r="L2" s="1205"/>
      <c r="M2" s="1206"/>
      <c r="N2" s="115"/>
    </row>
    <row r="3" spans="1:14" ht="4.3499999999999996" customHeight="1" thickBot="1">
      <c r="A3" s="113"/>
      <c r="B3" s="1204"/>
      <c r="C3" s="1205"/>
      <c r="D3" s="1205"/>
      <c r="E3" s="1205"/>
      <c r="F3" s="1205"/>
      <c r="G3" s="1205"/>
      <c r="H3" s="1205"/>
      <c r="I3" s="1205"/>
      <c r="J3" s="1205"/>
      <c r="K3" s="1205"/>
      <c r="L3" s="1205"/>
      <c r="M3" s="1206"/>
      <c r="N3" s="115"/>
    </row>
    <row r="4" spans="1:14" ht="15" customHeight="1" thickBot="1">
      <c r="A4" s="113"/>
      <c r="B4" s="417"/>
      <c r="C4" s="418" t="s">
        <v>120</v>
      </c>
      <c r="D4" s="1207" t="s">
        <v>121</v>
      </c>
      <c r="E4" s="1208"/>
      <c r="F4" s="1208"/>
      <c r="G4" s="1208"/>
      <c r="H4" s="1208"/>
      <c r="I4" s="1208"/>
      <c r="J4" s="1208"/>
      <c r="K4" s="1208"/>
      <c r="L4" s="1209"/>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10" t="s">
        <v>957</v>
      </c>
      <c r="E6" s="1211"/>
      <c r="F6" s="1211"/>
      <c r="G6" s="1211"/>
      <c r="H6" s="1211"/>
      <c r="I6" s="1211"/>
      <c r="J6" s="1211"/>
      <c r="K6" s="1211"/>
      <c r="L6" s="1212"/>
      <c r="M6" s="419"/>
      <c r="N6" s="115"/>
    </row>
    <row r="7" spans="1:14" ht="4.3499999999999996" customHeight="1" thickBot="1">
      <c r="A7" s="113"/>
      <c r="B7" s="417"/>
      <c r="C7" s="420"/>
      <c r="D7" s="421"/>
      <c r="E7" s="421"/>
      <c r="F7" s="421"/>
      <c r="G7" s="422"/>
      <c r="H7" s="107"/>
      <c r="I7" s="107"/>
      <c r="J7" s="107"/>
      <c r="K7" s="107"/>
      <c r="L7" s="107"/>
      <c r="M7" s="419"/>
      <c r="N7" s="115"/>
    </row>
    <row r="8" spans="1:14" ht="229.2" customHeight="1" thickBot="1">
      <c r="A8" s="113"/>
      <c r="B8" s="417"/>
      <c r="C8" s="424" t="s">
        <v>111</v>
      </c>
      <c r="D8" s="1210" t="s">
        <v>1216</v>
      </c>
      <c r="E8" s="1211"/>
      <c r="F8" s="1211"/>
      <c r="G8" s="1211"/>
      <c r="H8" s="1211"/>
      <c r="I8" s="1211"/>
      <c r="J8" s="1211"/>
      <c r="K8" s="1211"/>
      <c r="L8" s="1212"/>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13" t="s">
        <v>1217</v>
      </c>
      <c r="E10" s="1214"/>
      <c r="F10" s="1214"/>
      <c r="G10" s="1214"/>
      <c r="H10" s="1214"/>
      <c r="I10" s="1214"/>
      <c r="J10" s="1214"/>
      <c r="K10" s="1214"/>
      <c r="L10" s="1215"/>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 customHeight="1" thickBot="1">
      <c r="A12" s="113"/>
      <c r="B12" s="417"/>
      <c r="C12" s="425" t="s">
        <v>1120</v>
      </c>
      <c r="D12" s="1213" t="s">
        <v>1218</v>
      </c>
      <c r="E12" s="1216"/>
      <c r="F12" s="1216"/>
      <c r="G12" s="1216"/>
      <c r="H12" s="1216"/>
      <c r="I12" s="1216"/>
      <c r="J12" s="1216"/>
      <c r="K12" s="1216"/>
      <c r="L12" s="1217"/>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18" t="s">
        <v>119</v>
      </c>
      <c r="E14" s="1216"/>
      <c r="F14" s="1216"/>
      <c r="G14" s="1216"/>
      <c r="H14" s="1216"/>
      <c r="I14" s="1216"/>
      <c r="J14" s="1216"/>
      <c r="K14" s="1216"/>
      <c r="L14" s="1217"/>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7" customHeight="1" thickBot="1">
      <c r="A16" s="113"/>
      <c r="B16" s="417"/>
      <c r="C16" s="425" t="s">
        <v>1121</v>
      </c>
      <c r="D16" s="1218" t="s">
        <v>152</v>
      </c>
      <c r="E16" s="1216"/>
      <c r="F16" s="1216"/>
      <c r="G16" s="1216"/>
      <c r="H16" s="1216"/>
      <c r="I16" s="1216"/>
      <c r="J16" s="1216"/>
      <c r="K16" s="1216"/>
      <c r="L16" s="1217"/>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18" t="s">
        <v>153</v>
      </c>
      <c r="E18" s="1216"/>
      <c r="F18" s="1216"/>
      <c r="G18" s="1216"/>
      <c r="H18" s="1216"/>
      <c r="I18" s="1216"/>
      <c r="J18" s="1216"/>
      <c r="K18" s="1216"/>
      <c r="L18" s="1217"/>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13" t="s">
        <v>761</v>
      </c>
      <c r="E20" s="1216"/>
      <c r="F20" s="1216"/>
      <c r="G20" s="1216"/>
      <c r="H20" s="1216"/>
      <c r="I20" s="1216"/>
      <c r="J20" s="1216"/>
      <c r="K20" s="1216"/>
      <c r="L20" s="1217"/>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13" t="s">
        <v>982</v>
      </c>
      <c r="E22" s="1216"/>
      <c r="F22" s="1216"/>
      <c r="G22" s="1216"/>
      <c r="H22" s="1216"/>
      <c r="I22" s="1216"/>
      <c r="J22" s="1216"/>
      <c r="K22" s="1216"/>
      <c r="L22" s="1217"/>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13" t="s">
        <v>1215</v>
      </c>
      <c r="E24" s="1216"/>
      <c r="F24" s="1216"/>
      <c r="G24" s="1216"/>
      <c r="H24" s="1216"/>
      <c r="I24" s="1216"/>
      <c r="J24" s="1216"/>
      <c r="K24" s="1216"/>
      <c r="L24" s="1217"/>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18" t="s">
        <v>154</v>
      </c>
      <c r="E26" s="1216"/>
      <c r="F26" s="1216"/>
      <c r="G26" s="1216"/>
      <c r="H26" s="1216"/>
      <c r="I26" s="1216"/>
      <c r="J26" s="1216"/>
      <c r="K26" s="1216"/>
      <c r="L26" s="1217"/>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19" t="s">
        <v>155</v>
      </c>
      <c r="E28" s="1211"/>
      <c r="F28" s="1211"/>
      <c r="G28" s="1211"/>
      <c r="H28" s="1211"/>
      <c r="I28" s="1211"/>
      <c r="J28" s="1211"/>
      <c r="K28" s="1211"/>
      <c r="L28" s="1212"/>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00000000000006" customHeight="1" thickBot="1">
      <c r="A30" s="113"/>
      <c r="B30" s="417"/>
      <c r="C30" s="425" t="s">
        <v>1126</v>
      </c>
      <c r="D30" s="1213" t="s">
        <v>1202</v>
      </c>
      <c r="E30" s="1216"/>
      <c r="F30" s="1216"/>
      <c r="G30" s="1216"/>
      <c r="H30" s="1216"/>
      <c r="I30" s="1216"/>
      <c r="J30" s="1216"/>
      <c r="K30" s="1216"/>
      <c r="L30" s="1217"/>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00000000000006" customHeight="1" thickBot="1">
      <c r="A32" s="113"/>
      <c r="B32" s="417"/>
      <c r="C32" s="425" t="s">
        <v>53</v>
      </c>
      <c r="D32" s="1218" t="s">
        <v>156</v>
      </c>
      <c r="E32" s="1216"/>
      <c r="F32" s="1216"/>
      <c r="G32" s="1216"/>
      <c r="H32" s="1216"/>
      <c r="I32" s="1216"/>
      <c r="J32" s="1216"/>
      <c r="K32" s="1216"/>
      <c r="L32" s="1217"/>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18" t="s">
        <v>157</v>
      </c>
      <c r="E34" s="1216"/>
      <c r="F34" s="1216"/>
      <c r="G34" s="1216"/>
      <c r="H34" s="1216"/>
      <c r="I34" s="1216"/>
      <c r="J34" s="1216"/>
      <c r="K34" s="1216"/>
      <c r="L34" s="1217"/>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00000000000006" customHeight="1" thickBot="1">
      <c r="A36" s="113"/>
      <c r="B36" s="417"/>
      <c r="C36" s="425" t="s">
        <v>159</v>
      </c>
      <c r="D36" s="1219" t="s">
        <v>158</v>
      </c>
      <c r="E36" s="1216"/>
      <c r="F36" s="1216"/>
      <c r="G36" s="1216"/>
      <c r="H36" s="1216"/>
      <c r="I36" s="1216"/>
      <c r="J36" s="1216"/>
      <c r="K36" s="1216"/>
      <c r="L36" s="1217"/>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13" t="s">
        <v>1203</v>
      </c>
      <c r="E38" s="1216"/>
      <c r="F38" s="1216"/>
      <c r="G38" s="1216"/>
      <c r="H38" s="1216"/>
      <c r="I38" s="1216"/>
      <c r="J38" s="1216"/>
      <c r="K38" s="1216"/>
      <c r="L38" s="1217"/>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 customHeight="1" thickBot="1">
      <c r="A40" s="113"/>
      <c r="B40" s="417"/>
      <c r="C40" s="425" t="s">
        <v>904</v>
      </c>
      <c r="D40" s="1213" t="s">
        <v>905</v>
      </c>
      <c r="E40" s="1216"/>
      <c r="F40" s="1216"/>
      <c r="G40" s="1216"/>
      <c r="H40" s="1216"/>
      <c r="I40" s="1216"/>
      <c r="J40" s="1216"/>
      <c r="K40" s="1216"/>
      <c r="L40" s="1217"/>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13" t="s">
        <v>672</v>
      </c>
      <c r="E42" s="1216"/>
      <c r="F42" s="1216"/>
      <c r="G42" s="1216"/>
      <c r="H42" s="1216"/>
      <c r="I42" s="1216"/>
      <c r="J42" s="1216"/>
      <c r="K42" s="1216"/>
      <c r="L42" s="1217"/>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2" customHeight="1">
      <c r="A44" s="113"/>
      <c r="B44" s="417"/>
      <c r="C44" s="1220" t="s">
        <v>32</v>
      </c>
      <c r="D44" s="1222" t="s">
        <v>1219</v>
      </c>
      <c r="E44" s="1223"/>
      <c r="F44" s="1223"/>
      <c r="G44" s="1223"/>
      <c r="H44" s="1223"/>
      <c r="I44" s="1223"/>
      <c r="J44" s="1223"/>
      <c r="K44" s="1223"/>
      <c r="L44" s="1224"/>
      <c r="M44" s="419"/>
      <c r="N44" s="115"/>
    </row>
    <row r="45" spans="1:14" ht="13.8" thickBot="1">
      <c r="A45" s="113"/>
      <c r="B45" s="417"/>
      <c r="C45" s="1221"/>
      <c r="D45" s="1225"/>
      <c r="E45" s="1226"/>
      <c r="F45" s="1226"/>
      <c r="G45" s="1226"/>
      <c r="H45" s="1226"/>
      <c r="I45" s="1226"/>
      <c r="J45" s="1226"/>
      <c r="K45" s="1226"/>
      <c r="L45" s="1227"/>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13" t="s">
        <v>1220</v>
      </c>
      <c r="E47" s="1216"/>
      <c r="F47" s="1216"/>
      <c r="G47" s="1216"/>
      <c r="H47" s="1216"/>
      <c r="I47" s="1216"/>
      <c r="J47" s="1216"/>
      <c r="K47" s="1216"/>
      <c r="L47" s="1217"/>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2" customHeight="1" thickBot="1">
      <c r="A49" s="113"/>
      <c r="B49" s="417"/>
      <c r="C49" s="425" t="s">
        <v>1118</v>
      </c>
      <c r="D49" s="1218" t="s">
        <v>160</v>
      </c>
      <c r="E49" s="1216"/>
      <c r="F49" s="1216"/>
      <c r="G49" s="1216"/>
      <c r="H49" s="1216"/>
      <c r="I49" s="1216"/>
      <c r="J49" s="1216"/>
      <c r="K49" s="1216"/>
      <c r="L49" s="1217"/>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13" t="s">
        <v>1221</v>
      </c>
      <c r="E51" s="1216"/>
      <c r="F51" s="1216"/>
      <c r="G51" s="1216"/>
      <c r="H51" s="1216"/>
      <c r="I51" s="1216"/>
      <c r="J51" s="1216"/>
      <c r="K51" s="1216"/>
      <c r="L51" s="1217"/>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20" t="s">
        <v>26</v>
      </c>
      <c r="D53" s="1222" t="s">
        <v>984</v>
      </c>
      <c r="E53" s="1223"/>
      <c r="F53" s="1223"/>
      <c r="G53" s="1223"/>
      <c r="H53" s="1223"/>
      <c r="I53" s="1223"/>
      <c r="J53" s="1223"/>
      <c r="K53" s="1223"/>
      <c r="L53" s="1224"/>
      <c r="M53" s="419"/>
      <c r="N53" s="115"/>
    </row>
    <row r="54" spans="1:14" ht="18" customHeight="1">
      <c r="A54" s="113"/>
      <c r="B54" s="417"/>
      <c r="C54" s="1229"/>
      <c r="D54" s="431"/>
      <c r="E54" s="1228" t="s">
        <v>106</v>
      </c>
      <c r="F54" s="1228"/>
      <c r="G54" s="432" t="s">
        <v>104</v>
      </c>
      <c r="H54" s="432"/>
      <c r="I54" s="1231" t="s">
        <v>105</v>
      </c>
      <c r="J54" s="1231"/>
      <c r="K54" s="430"/>
      <c r="L54" s="433"/>
      <c r="M54" s="419"/>
      <c r="N54" s="115"/>
    </row>
    <row r="55" spans="1:14" ht="18.75" customHeight="1">
      <c r="A55" s="113"/>
      <c r="B55" s="417"/>
      <c r="C55" s="1229"/>
      <c r="D55" s="431"/>
      <c r="E55" s="1232">
        <v>100</v>
      </c>
      <c r="F55" s="1233"/>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9"/>
      <c r="D56" s="431"/>
      <c r="E56" s="421"/>
      <c r="F56" s="421"/>
      <c r="G56" s="1230" t="str">
        <f>"(conversion factor = "&amp;ROUND(INDEX(Sheet1!N2:P4,MATCH(G55,Sheet1!M2:M4,0),MATCH(J55,Sheet1!N1:P1,0)),4)&amp;")"</f>
        <v>(conversion factor = 3.0689)</v>
      </c>
      <c r="H56" s="1230"/>
      <c r="I56" s="1230"/>
      <c r="J56" s="1230"/>
      <c r="K56" s="430"/>
      <c r="L56" s="433"/>
      <c r="M56" s="419"/>
      <c r="N56" s="115"/>
    </row>
    <row r="57" spans="1:14" ht="3.75" customHeight="1" thickBot="1">
      <c r="A57" s="113"/>
      <c r="B57" s="417"/>
      <c r="C57" s="1221"/>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13" t="s">
        <v>1110</v>
      </c>
      <c r="E59" s="1216"/>
      <c r="F59" s="1216"/>
      <c r="G59" s="1216"/>
      <c r="H59" s="1216"/>
      <c r="I59" s="1216"/>
      <c r="J59" s="1216"/>
      <c r="K59" s="1216"/>
      <c r="L59" s="1217"/>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13" t="s">
        <v>768</v>
      </c>
      <c r="E61" s="1216"/>
      <c r="F61" s="1216"/>
      <c r="G61" s="1216"/>
      <c r="H61" s="1216"/>
      <c r="I61" s="1216"/>
      <c r="J61" s="1216"/>
      <c r="K61" s="1216"/>
      <c r="L61" s="1217"/>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5" customHeight="1" thickBot="1">
      <c r="A63" s="113"/>
      <c r="B63" s="417"/>
      <c r="C63" s="428" t="s">
        <v>711</v>
      </c>
      <c r="D63" s="1213" t="s">
        <v>1230</v>
      </c>
      <c r="E63" s="1216"/>
      <c r="F63" s="1216"/>
      <c r="G63" s="1216"/>
      <c r="H63" s="1216"/>
      <c r="I63" s="1216"/>
      <c r="J63" s="1216"/>
      <c r="K63" s="1216"/>
      <c r="L63" s="1217"/>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13" t="s">
        <v>765</v>
      </c>
      <c r="E65" s="1216"/>
      <c r="F65" s="1216"/>
      <c r="G65" s="1216"/>
      <c r="H65" s="1216"/>
      <c r="I65" s="1216"/>
      <c r="J65" s="1216"/>
      <c r="K65" s="1216"/>
      <c r="L65" s="1217"/>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 customHeight="1" thickBot="1">
      <c r="A67" s="113"/>
      <c r="B67" s="417"/>
      <c r="C67" s="424" t="s">
        <v>1132</v>
      </c>
      <c r="D67" s="1213" t="s">
        <v>1229</v>
      </c>
      <c r="E67" s="1216"/>
      <c r="F67" s="1216"/>
      <c r="G67" s="1216"/>
      <c r="H67" s="1216"/>
      <c r="I67" s="1216"/>
      <c r="J67" s="1216"/>
      <c r="K67" s="1216"/>
      <c r="L67" s="1217"/>
      <c r="M67" s="419"/>
      <c r="N67" s="115"/>
    </row>
    <row r="68" spans="1:14" ht="4.2"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13" t="s">
        <v>764</v>
      </c>
      <c r="E69" s="1216"/>
      <c r="F69" s="1216"/>
      <c r="G69" s="1216"/>
      <c r="H69" s="1216"/>
      <c r="I69" s="1216"/>
      <c r="J69" s="1216"/>
      <c r="K69" s="1216"/>
      <c r="L69" s="1217"/>
      <c r="M69" s="419"/>
      <c r="N69" s="115"/>
    </row>
    <row r="70" spans="1:14" ht="4.2" customHeight="1" thickBot="1">
      <c r="A70" s="91"/>
      <c r="B70" s="438"/>
      <c r="D70" s="107"/>
      <c r="E70" s="107"/>
      <c r="F70" s="107"/>
      <c r="G70" s="421"/>
      <c r="H70" s="421"/>
      <c r="I70" s="421"/>
      <c r="J70" s="421"/>
      <c r="K70" s="421"/>
      <c r="L70" s="421"/>
      <c r="M70" s="419"/>
      <c r="N70" s="115"/>
    </row>
    <row r="71" spans="1:14" ht="125.4" customHeight="1" thickBot="1">
      <c r="A71" s="113"/>
      <c r="B71" s="417"/>
      <c r="C71" s="428" t="s">
        <v>1134</v>
      </c>
      <c r="D71" s="1213" t="s">
        <v>1228</v>
      </c>
      <c r="E71" s="1216"/>
      <c r="F71" s="1216"/>
      <c r="G71" s="1216"/>
      <c r="H71" s="1216"/>
      <c r="I71" s="1216"/>
      <c r="J71" s="1216"/>
      <c r="K71" s="1216"/>
      <c r="L71" s="1217"/>
      <c r="M71" s="419"/>
      <c r="N71" s="115"/>
    </row>
    <row r="72" spans="1:14" ht="4.2" customHeight="1" thickBot="1">
      <c r="A72" s="113"/>
      <c r="B72" s="417"/>
      <c r="C72" s="770"/>
      <c r="D72" s="766"/>
      <c r="E72" s="430"/>
      <c r="F72" s="430"/>
      <c r="G72" s="430"/>
      <c r="H72" s="430"/>
      <c r="I72" s="430"/>
      <c r="J72" s="430"/>
      <c r="K72" s="430"/>
      <c r="L72" s="430"/>
      <c r="M72" s="419"/>
      <c r="N72" s="115"/>
    </row>
    <row r="73" spans="1:14" ht="409.5" customHeight="1">
      <c r="A73" s="113"/>
      <c r="B73" s="417"/>
      <c r="C73" s="1202" t="s">
        <v>1227</v>
      </c>
      <c r="D73" s="1234" t="s">
        <v>1250</v>
      </c>
      <c r="E73" s="1235"/>
      <c r="F73" s="1235"/>
      <c r="G73" s="1235"/>
      <c r="H73" s="1235"/>
      <c r="I73" s="1235"/>
      <c r="J73" s="1235"/>
      <c r="K73" s="1235"/>
      <c r="L73" s="1236"/>
      <c r="M73" s="419"/>
      <c r="N73" s="115"/>
    </row>
    <row r="74" spans="1:14" ht="302.39999999999998" customHeight="1" thickBot="1">
      <c r="A74" s="113"/>
      <c r="B74" s="417"/>
      <c r="C74" s="1203"/>
      <c r="D74" s="1237"/>
      <c r="E74" s="1238"/>
      <c r="F74" s="1238"/>
      <c r="G74" s="1238"/>
      <c r="H74" s="1238"/>
      <c r="I74" s="1238"/>
      <c r="J74" s="1238"/>
      <c r="K74" s="1238"/>
      <c r="L74" s="1239"/>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 customHeight="1" thickBot="1">
      <c r="A76" s="113"/>
      <c r="B76" s="417"/>
      <c r="C76" s="425" t="s">
        <v>166</v>
      </c>
      <c r="D76" s="1210" t="s">
        <v>983</v>
      </c>
      <c r="E76" s="1211"/>
      <c r="F76" s="1211"/>
      <c r="G76" s="1211"/>
      <c r="H76" s="1211"/>
      <c r="I76" s="1211"/>
      <c r="J76" s="1211"/>
      <c r="K76" s="1211"/>
      <c r="L76" s="1212"/>
      <c r="M76" s="419"/>
      <c r="N76" s="115"/>
    </row>
    <row r="77" spans="1:14" ht="6.75" customHeight="1" thickBot="1">
      <c r="A77" s="113"/>
      <c r="B77" s="439"/>
      <c r="C77" s="440"/>
      <c r="D77" s="441"/>
      <c r="E77" s="441"/>
      <c r="F77" s="441"/>
      <c r="G77" s="441"/>
      <c r="H77" s="441"/>
      <c r="I77" s="441"/>
      <c r="J77" s="441"/>
      <c r="K77" s="441"/>
      <c r="L77" s="441"/>
      <c r="M77" s="442"/>
      <c r="N77" s="115"/>
    </row>
    <row r="78" spans="1:14" ht="184.2"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2"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4"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4140625" style="3" customWidth="1"/>
    <col min="2" max="2" width="1.5546875" style="3" customWidth="1"/>
    <col min="3" max="3" width="18.5546875" style="1" customWidth="1"/>
    <col min="4" max="4" width="8.88671875" style="1" customWidth="1"/>
    <col min="5" max="5" width="13.5546875" style="1" customWidth="1"/>
    <col min="6" max="6" width="9.5546875" style="1" customWidth="1"/>
    <col min="7" max="17" width="8" style="1" customWidth="1"/>
    <col min="18" max="18" width="13.10937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85" t="s">
        <v>785</v>
      </c>
      <c r="C2" s="1186"/>
      <c r="D2" s="1186"/>
      <c r="E2" s="1186"/>
      <c r="F2" s="1186"/>
      <c r="G2" s="1186"/>
      <c r="H2" s="1186"/>
      <c r="I2" s="1186"/>
      <c r="J2" s="1186"/>
      <c r="K2" s="1186"/>
      <c r="L2" s="1186"/>
      <c r="M2" s="1186"/>
      <c r="N2" s="1186"/>
      <c r="O2" s="1186"/>
      <c r="P2" s="1186"/>
      <c r="Q2" s="1186"/>
      <c r="R2" s="1186"/>
      <c r="S2" s="1187"/>
      <c r="T2" s="111"/>
    </row>
    <row r="3" spans="1:22" ht="8.25" customHeight="1" thickBot="1">
      <c r="A3" s="118"/>
      <c r="B3" s="403"/>
      <c r="C3" s="452"/>
      <c r="D3" s="452"/>
      <c r="E3" s="452"/>
      <c r="F3" s="452"/>
      <c r="S3" s="404"/>
      <c r="T3" s="111"/>
    </row>
    <row r="4" spans="1:22" s="46" customFormat="1" ht="79.5" customHeight="1" thickBot="1">
      <c r="A4" s="91"/>
      <c r="B4" s="438"/>
      <c r="C4" s="1262" t="s">
        <v>1193</v>
      </c>
      <c r="D4" s="1263"/>
      <c r="E4" s="1263"/>
      <c r="F4" s="1263"/>
      <c r="G4" s="1263"/>
      <c r="H4" s="1263"/>
      <c r="I4" s="1263"/>
      <c r="J4" s="1263"/>
      <c r="K4" s="1263"/>
      <c r="L4" s="1263"/>
      <c r="M4" s="1263"/>
      <c r="N4" s="1263"/>
      <c r="O4" s="1263"/>
      <c r="P4" s="1263"/>
      <c r="Q4" s="1263"/>
      <c r="R4" s="1264"/>
      <c r="S4" s="419"/>
      <c r="T4" s="91"/>
      <c r="U4" s="4"/>
      <c r="V4" s="4"/>
    </row>
    <row r="5" spans="1:22" s="46" customFormat="1" ht="7.5" customHeight="1" thickBot="1">
      <c r="A5" s="91"/>
      <c r="B5" s="438"/>
      <c r="C5" s="453"/>
      <c r="S5" s="419"/>
      <c r="T5" s="91"/>
      <c r="U5" s="4"/>
      <c r="V5" s="4"/>
    </row>
    <row r="6" spans="1:22" s="46" customFormat="1" ht="62.1" customHeight="1" thickBot="1">
      <c r="A6" s="91"/>
      <c r="B6" s="438"/>
      <c r="C6" s="1265" t="s">
        <v>235</v>
      </c>
      <c r="D6" s="1266"/>
      <c r="E6" s="1266"/>
      <c r="F6" s="1266"/>
      <c r="G6" s="1266"/>
      <c r="H6" s="1266"/>
      <c r="I6" s="1266"/>
      <c r="J6" s="1266"/>
      <c r="K6" s="1266"/>
      <c r="L6" s="1266"/>
      <c r="M6" s="1266"/>
      <c r="N6" s="1266"/>
      <c r="O6" s="1266"/>
      <c r="P6" s="1266"/>
      <c r="Q6" s="1266"/>
      <c r="R6" s="1267"/>
      <c r="S6" s="419"/>
      <c r="T6" s="91"/>
      <c r="U6" s="4"/>
      <c r="V6" s="4"/>
    </row>
    <row r="7" spans="1:22" s="46" customFormat="1" ht="8.25" customHeight="1" thickBot="1">
      <c r="A7" s="91"/>
      <c r="B7" s="438"/>
      <c r="C7" s="264"/>
      <c r="D7" s="264"/>
      <c r="E7" s="264"/>
      <c r="F7" s="264"/>
      <c r="S7" s="419"/>
      <c r="T7" s="91"/>
      <c r="U7" s="4"/>
      <c r="V7" s="4"/>
    </row>
    <row r="8" spans="1:22" s="46" customFormat="1" ht="15.6">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6">
      <c r="A9" s="91"/>
      <c r="B9" s="438"/>
      <c r="C9" s="881"/>
      <c r="D9" s="247" t="s">
        <v>1168</v>
      </c>
      <c r="E9" s="247"/>
      <c r="H9" s="247" t="s">
        <v>1166</v>
      </c>
      <c r="I9" s="247"/>
      <c r="R9" s="146"/>
      <c r="S9" s="419"/>
      <c r="T9" s="91"/>
      <c r="U9" s="4"/>
      <c r="V9" s="4"/>
    </row>
    <row r="10" spans="1:22" s="46" customFormat="1" ht="15.6">
      <c r="A10" s="91"/>
      <c r="B10" s="438"/>
      <c r="C10" s="881"/>
      <c r="D10" s="247" t="s">
        <v>1169</v>
      </c>
      <c r="E10" s="247"/>
      <c r="H10" s="247" t="s">
        <v>1170</v>
      </c>
      <c r="I10" s="247"/>
      <c r="R10" s="146"/>
      <c r="S10" s="419"/>
      <c r="T10" s="91"/>
      <c r="U10" s="4"/>
      <c r="V10" s="4"/>
    </row>
    <row r="11" spans="1:22" s="46" customFormat="1" ht="15.6">
      <c r="A11" s="91"/>
      <c r="B11" s="438"/>
      <c r="C11" s="881"/>
      <c r="D11" s="247" t="s">
        <v>1209</v>
      </c>
      <c r="E11" s="247"/>
      <c r="H11" s="247" t="s">
        <v>1171</v>
      </c>
      <c r="I11" s="247"/>
      <c r="R11" s="146"/>
      <c r="S11" s="419"/>
      <c r="T11" s="91"/>
      <c r="U11" s="4"/>
      <c r="V11" s="4"/>
    </row>
    <row r="12" spans="1:22" s="46" customFormat="1" ht="15.6">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71" t="s">
        <v>1172</v>
      </c>
      <c r="E15" s="1271"/>
      <c r="F15" s="1271"/>
      <c r="G15" s="1271"/>
      <c r="H15" s="1271"/>
      <c r="I15" s="1271"/>
      <c r="J15" s="1271"/>
      <c r="K15" s="1271"/>
      <c r="L15" s="1271"/>
      <c r="M15" s="1271"/>
      <c r="N15" s="1271"/>
      <c r="O15" s="1271"/>
      <c r="P15" s="1271"/>
      <c r="Q15" s="1271"/>
      <c r="R15" s="146"/>
      <c r="S15" s="419"/>
      <c r="T15" s="91"/>
      <c r="U15" s="4"/>
      <c r="V15" s="4"/>
    </row>
    <row r="16" spans="1:22" s="46" customFormat="1" ht="12.75" hidden="1" customHeight="1">
      <c r="A16" s="91"/>
      <c r="B16" s="438"/>
      <c r="C16" s="455"/>
      <c r="D16" s="1271"/>
      <c r="E16" s="1271"/>
      <c r="F16" s="1271"/>
      <c r="G16" s="1271"/>
      <c r="H16" s="1271"/>
      <c r="I16" s="1271"/>
      <c r="J16" s="1271"/>
      <c r="K16" s="1271"/>
      <c r="L16" s="1271"/>
      <c r="M16" s="1271"/>
      <c r="N16" s="1271"/>
      <c r="O16" s="1271"/>
      <c r="P16" s="1271"/>
      <c r="Q16" s="1271"/>
      <c r="R16" s="146"/>
      <c r="S16" s="419"/>
      <c r="T16" s="91"/>
      <c r="U16" s="4"/>
      <c r="V16" s="4"/>
    </row>
    <row r="17" spans="1:22" s="46" customFormat="1" ht="23.4" customHeight="1" thickBot="1">
      <c r="A17" s="91"/>
      <c r="B17" s="438"/>
      <c r="C17" s="456"/>
      <c r="D17" s="1272"/>
      <c r="E17" s="1272"/>
      <c r="F17" s="1272"/>
      <c r="G17" s="1272"/>
      <c r="H17" s="1272"/>
      <c r="I17" s="1272"/>
      <c r="J17" s="1272"/>
      <c r="K17" s="1272"/>
      <c r="L17" s="1272"/>
      <c r="M17" s="1272"/>
      <c r="N17" s="1272"/>
      <c r="O17" s="1272"/>
      <c r="P17" s="1272"/>
      <c r="Q17" s="1272"/>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0"/>
      <c r="E19" s="1260"/>
      <c r="F19" s="1260"/>
      <c r="G19" s="1260"/>
      <c r="H19" s="1260"/>
      <c r="I19" s="1260"/>
      <c r="J19" s="1260"/>
      <c r="K19" s="1260"/>
      <c r="L19" s="1260"/>
      <c r="M19" s="1260"/>
      <c r="N19" s="1260"/>
      <c r="O19" s="1260"/>
      <c r="P19" s="1260"/>
      <c r="Q19" s="1260"/>
      <c r="R19" s="1261"/>
      <c r="S19" s="419"/>
      <c r="T19" s="91"/>
      <c r="U19" s="4"/>
      <c r="V19" s="4"/>
    </row>
    <row r="20" spans="1:22" s="107" customFormat="1" ht="36.450000000000003" customHeight="1">
      <c r="A20" s="931"/>
      <c r="B20" s="932"/>
      <c r="C20" s="1246" t="s">
        <v>1263</v>
      </c>
      <c r="D20" s="1247"/>
      <c r="E20" s="1247"/>
      <c r="F20" s="1247"/>
      <c r="G20" s="1247"/>
      <c r="H20" s="1247"/>
      <c r="I20" s="1247"/>
      <c r="J20" s="1247"/>
      <c r="K20" s="1247"/>
      <c r="L20" s="1247"/>
      <c r="M20" s="1247"/>
      <c r="N20" s="1247"/>
      <c r="O20" s="1247"/>
      <c r="P20" s="1247"/>
      <c r="Q20" s="1247"/>
      <c r="R20" s="1248"/>
      <c r="S20" s="427"/>
      <c r="T20" s="931"/>
      <c r="U20" s="933"/>
      <c r="V20" s="933"/>
    </row>
    <row r="21" spans="1:22" s="107" customFormat="1" ht="15" customHeight="1">
      <c r="A21" s="931"/>
      <c r="B21" s="932"/>
      <c r="C21" s="1246" t="s">
        <v>1174</v>
      </c>
      <c r="D21" s="1247"/>
      <c r="E21" s="1247"/>
      <c r="F21" s="1247"/>
      <c r="G21" s="1247"/>
      <c r="H21" s="1247"/>
      <c r="I21" s="1247"/>
      <c r="J21" s="1247"/>
      <c r="K21" s="1247"/>
      <c r="L21" s="1247"/>
      <c r="M21" s="1247"/>
      <c r="N21" s="1247"/>
      <c r="O21" s="1247"/>
      <c r="P21" s="1247"/>
      <c r="Q21" s="1247"/>
      <c r="R21" s="1248"/>
      <c r="S21" s="427"/>
      <c r="T21" s="931"/>
      <c r="U21" s="933"/>
      <c r="V21" s="933"/>
    </row>
    <row r="22" spans="1:22" s="107" customFormat="1" ht="15" customHeight="1">
      <c r="A22" s="931"/>
      <c r="B22" s="932"/>
      <c r="C22" s="1246" t="s">
        <v>1175</v>
      </c>
      <c r="D22" s="1247"/>
      <c r="E22" s="1247"/>
      <c r="F22" s="1247"/>
      <c r="G22" s="1247"/>
      <c r="H22" s="1247"/>
      <c r="I22" s="1247"/>
      <c r="J22" s="1247"/>
      <c r="K22" s="1247"/>
      <c r="L22" s="1247"/>
      <c r="M22" s="1247"/>
      <c r="N22" s="1247"/>
      <c r="O22" s="1247"/>
      <c r="P22" s="1247"/>
      <c r="Q22" s="1247"/>
      <c r="R22" s="1248"/>
      <c r="S22" s="427"/>
      <c r="T22" s="931"/>
      <c r="U22" s="933"/>
      <c r="V22" s="933"/>
    </row>
    <row r="23" spans="1:22" s="107" customFormat="1" ht="15" customHeight="1">
      <c r="A23" s="931"/>
      <c r="B23" s="932"/>
      <c r="C23" s="1246" t="s">
        <v>1261</v>
      </c>
      <c r="D23" s="1247"/>
      <c r="E23" s="1247"/>
      <c r="F23" s="1247"/>
      <c r="G23" s="1247"/>
      <c r="H23" s="1247"/>
      <c r="I23" s="1247"/>
      <c r="J23" s="1247"/>
      <c r="K23" s="1247"/>
      <c r="L23" s="1247"/>
      <c r="M23" s="1247"/>
      <c r="N23" s="1247"/>
      <c r="O23" s="1247"/>
      <c r="P23" s="1247"/>
      <c r="Q23" s="1247"/>
      <c r="R23" s="1248"/>
      <c r="S23" s="427"/>
      <c r="T23" s="931"/>
      <c r="U23" s="933"/>
      <c r="V23" s="933"/>
    </row>
    <row r="24" spans="1:22" s="107" customFormat="1" ht="15" customHeight="1">
      <c r="A24" s="931"/>
      <c r="B24" s="932"/>
      <c r="C24" s="1246" t="s">
        <v>1262</v>
      </c>
      <c r="D24" s="1247"/>
      <c r="E24" s="1247"/>
      <c r="F24" s="1247"/>
      <c r="G24" s="1247"/>
      <c r="H24" s="1247"/>
      <c r="I24" s="1247"/>
      <c r="J24" s="1247"/>
      <c r="K24" s="1247"/>
      <c r="L24" s="1247"/>
      <c r="M24" s="1247"/>
      <c r="N24" s="1247"/>
      <c r="O24" s="1247"/>
      <c r="P24" s="1247"/>
      <c r="Q24" s="1247"/>
      <c r="R24" s="1248"/>
      <c r="S24" s="427"/>
      <c r="T24" s="931"/>
      <c r="U24" s="933"/>
      <c r="V24" s="933"/>
    </row>
    <row r="25" spans="1:22" s="107" customFormat="1" ht="15" customHeight="1">
      <c r="A25" s="931"/>
      <c r="B25" s="932"/>
      <c r="C25" s="1246" t="s">
        <v>1176</v>
      </c>
      <c r="D25" s="1247"/>
      <c r="E25" s="1247"/>
      <c r="F25" s="1247"/>
      <c r="G25" s="1247"/>
      <c r="H25" s="1247"/>
      <c r="I25" s="1247"/>
      <c r="J25" s="1247"/>
      <c r="K25" s="1247"/>
      <c r="L25" s="1247"/>
      <c r="M25" s="1247"/>
      <c r="N25" s="1247"/>
      <c r="O25" s="1247"/>
      <c r="P25" s="1247"/>
      <c r="Q25" s="1247"/>
      <c r="R25" s="1248"/>
      <c r="S25" s="427"/>
      <c r="T25" s="931"/>
      <c r="U25" s="933"/>
      <c r="V25" s="933"/>
    </row>
    <row r="26" spans="1:22" s="107" customFormat="1" ht="15" customHeight="1">
      <c r="A26" s="931"/>
      <c r="B26" s="932"/>
      <c r="C26" s="1246" t="s">
        <v>1177</v>
      </c>
      <c r="D26" s="1247"/>
      <c r="E26" s="1247"/>
      <c r="F26" s="1247"/>
      <c r="G26" s="1247"/>
      <c r="H26" s="1247"/>
      <c r="I26" s="1247"/>
      <c r="J26" s="1247"/>
      <c r="K26" s="1247"/>
      <c r="L26" s="1247"/>
      <c r="M26" s="1247"/>
      <c r="N26" s="1247"/>
      <c r="O26" s="1247"/>
      <c r="P26" s="1247"/>
      <c r="Q26" s="1247"/>
      <c r="R26" s="1248"/>
      <c r="S26" s="427"/>
      <c r="T26" s="931"/>
      <c r="U26" s="933"/>
      <c r="V26" s="933"/>
    </row>
    <row r="27" spans="1:22" s="107" customFormat="1" ht="15" customHeight="1">
      <c r="A27" s="931"/>
      <c r="B27" s="932"/>
      <c r="C27" s="1246" t="s">
        <v>1240</v>
      </c>
      <c r="D27" s="1247"/>
      <c r="E27" s="1247"/>
      <c r="F27" s="1247"/>
      <c r="G27" s="1247"/>
      <c r="H27" s="1247"/>
      <c r="I27" s="1247"/>
      <c r="J27" s="1247"/>
      <c r="K27" s="1247"/>
      <c r="L27" s="1247"/>
      <c r="M27" s="1247"/>
      <c r="N27" s="1247"/>
      <c r="O27" s="1247"/>
      <c r="P27" s="1247"/>
      <c r="Q27" s="1247"/>
      <c r="R27" s="1248"/>
      <c r="S27" s="427"/>
      <c r="T27" s="931"/>
      <c r="U27" s="933"/>
      <c r="V27" s="933"/>
    </row>
    <row r="28" spans="1:22" s="107" customFormat="1" ht="15" customHeight="1">
      <c r="A28" s="931"/>
      <c r="B28" s="932"/>
      <c r="C28" s="1246" t="s">
        <v>1241</v>
      </c>
      <c r="D28" s="1247"/>
      <c r="E28" s="1247"/>
      <c r="F28" s="1247"/>
      <c r="G28" s="1247"/>
      <c r="H28" s="1247"/>
      <c r="I28" s="1247"/>
      <c r="J28" s="1247"/>
      <c r="K28" s="1247"/>
      <c r="L28" s="1247"/>
      <c r="M28" s="1247"/>
      <c r="N28" s="1247"/>
      <c r="O28" s="1247"/>
      <c r="P28" s="1247"/>
      <c r="Q28" s="1247"/>
      <c r="R28" s="1248"/>
      <c r="S28" s="427"/>
      <c r="T28" s="931"/>
      <c r="U28" s="933"/>
      <c r="V28" s="933"/>
    </row>
    <row r="29" spans="1:22" s="107" customFormat="1" ht="15" customHeight="1">
      <c r="A29" s="931"/>
      <c r="B29" s="932"/>
      <c r="C29" s="1246" t="s">
        <v>1178</v>
      </c>
      <c r="D29" s="1247"/>
      <c r="E29" s="1247"/>
      <c r="F29" s="1247"/>
      <c r="G29" s="1247"/>
      <c r="H29" s="1247"/>
      <c r="I29" s="1247"/>
      <c r="J29" s="1247"/>
      <c r="K29" s="1247"/>
      <c r="L29" s="1247"/>
      <c r="M29" s="1247"/>
      <c r="N29" s="1247"/>
      <c r="O29" s="1247"/>
      <c r="P29" s="1247"/>
      <c r="Q29" s="1247"/>
      <c r="R29" s="1248"/>
      <c r="S29" s="427"/>
      <c r="T29" s="931"/>
      <c r="U29" s="933"/>
      <c r="V29" s="933"/>
    </row>
    <row r="30" spans="1:22" s="107" customFormat="1" ht="27.45" customHeight="1" thickBot="1">
      <c r="A30" s="931"/>
      <c r="B30" s="932"/>
      <c r="C30" s="1268" t="s">
        <v>1264</v>
      </c>
      <c r="D30" s="1269"/>
      <c r="E30" s="1269"/>
      <c r="F30" s="1269"/>
      <c r="G30" s="1269"/>
      <c r="H30" s="1269"/>
      <c r="I30" s="1269"/>
      <c r="J30" s="1269"/>
      <c r="K30" s="1269"/>
      <c r="L30" s="1269"/>
      <c r="M30" s="1269"/>
      <c r="N30" s="1269"/>
      <c r="O30" s="1269"/>
      <c r="P30" s="1269"/>
      <c r="Q30" s="1269"/>
      <c r="R30" s="1270"/>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3" t="s">
        <v>254</v>
      </c>
      <c r="G33" s="1254"/>
      <c r="H33" s="1254"/>
      <c r="I33" s="1254"/>
      <c r="J33" s="1254"/>
      <c r="K33" s="1254"/>
      <c r="L33" s="1254"/>
      <c r="M33" s="1254"/>
      <c r="N33" s="1254"/>
      <c r="O33" s="1254"/>
      <c r="P33" s="1254"/>
      <c r="Q33" s="1254"/>
      <c r="R33" s="1255"/>
      <c r="S33" s="419"/>
      <c r="T33" s="91"/>
      <c r="U33" s="4"/>
      <c r="V33" s="4"/>
    </row>
    <row r="34" spans="1:22" s="46" customFormat="1" ht="35.1" customHeight="1">
      <c r="A34" s="91"/>
      <c r="B34" s="438"/>
      <c r="C34" s="462" t="s">
        <v>241</v>
      </c>
      <c r="D34" s="463" t="s">
        <v>252</v>
      </c>
      <c r="E34" s="464">
        <v>5</v>
      </c>
      <c r="F34" s="1256" t="s">
        <v>246</v>
      </c>
      <c r="G34" s="1257"/>
      <c r="H34" s="1257"/>
      <c r="I34" s="1257"/>
      <c r="J34" s="1257"/>
      <c r="K34" s="1257"/>
      <c r="L34" s="1257"/>
      <c r="M34" s="1257"/>
      <c r="N34" s="1257"/>
      <c r="O34" s="1257"/>
      <c r="P34" s="1257"/>
      <c r="Q34" s="1257"/>
      <c r="R34" s="1258"/>
      <c r="S34" s="419"/>
      <c r="T34" s="91"/>
      <c r="U34" s="4"/>
      <c r="V34" s="4"/>
    </row>
    <row r="35" spans="1:22" s="46" customFormat="1" ht="47.4" customHeight="1">
      <c r="A35" s="91"/>
      <c r="B35" s="438"/>
      <c r="C35" s="462" t="s">
        <v>242</v>
      </c>
      <c r="D35" s="464">
        <v>2006</v>
      </c>
      <c r="E35" s="464">
        <v>5</v>
      </c>
      <c r="F35" s="1256" t="s">
        <v>247</v>
      </c>
      <c r="G35" s="1257"/>
      <c r="H35" s="1257"/>
      <c r="I35" s="1257"/>
      <c r="J35" s="1257"/>
      <c r="K35" s="1257"/>
      <c r="L35" s="1257"/>
      <c r="M35" s="1257"/>
      <c r="N35" s="1257"/>
      <c r="O35" s="1257"/>
      <c r="P35" s="1257"/>
      <c r="Q35" s="1257"/>
      <c r="R35" s="1258"/>
      <c r="S35" s="419"/>
      <c r="T35" s="91"/>
      <c r="U35" s="4"/>
      <c r="V35" s="4"/>
    </row>
    <row r="36" spans="1:22" s="46" customFormat="1" ht="59.4" customHeight="1">
      <c r="A36" s="91"/>
      <c r="B36" s="438"/>
      <c r="C36" s="462" t="s">
        <v>243</v>
      </c>
      <c r="D36" s="464">
        <v>2007</v>
      </c>
      <c r="E36" s="464">
        <v>7</v>
      </c>
      <c r="F36" s="1256" t="s">
        <v>248</v>
      </c>
      <c r="G36" s="1257"/>
      <c r="H36" s="1257"/>
      <c r="I36" s="1257"/>
      <c r="J36" s="1257"/>
      <c r="K36" s="1257"/>
      <c r="L36" s="1257"/>
      <c r="M36" s="1257"/>
      <c r="N36" s="1257"/>
      <c r="O36" s="1257"/>
      <c r="P36" s="1257"/>
      <c r="Q36" s="1257"/>
      <c r="R36" s="1258"/>
      <c r="S36" s="419"/>
      <c r="T36" s="91"/>
      <c r="U36" s="4"/>
      <c r="V36" s="4"/>
    </row>
    <row r="37" spans="1:22" s="46" customFormat="1" ht="137.4" customHeight="1">
      <c r="A37" s="91"/>
      <c r="B37" s="438"/>
      <c r="C37" s="462" t="s">
        <v>244</v>
      </c>
      <c r="D37" s="464">
        <v>2010</v>
      </c>
      <c r="E37" s="464">
        <v>10</v>
      </c>
      <c r="F37" s="1259" t="s">
        <v>255</v>
      </c>
      <c r="G37" s="1257"/>
      <c r="H37" s="1257"/>
      <c r="I37" s="1257"/>
      <c r="J37" s="1257"/>
      <c r="K37" s="1257"/>
      <c r="L37" s="1257"/>
      <c r="M37" s="1257"/>
      <c r="N37" s="1257"/>
      <c r="O37" s="1257"/>
      <c r="P37" s="1257"/>
      <c r="Q37" s="1257"/>
      <c r="R37" s="1258"/>
      <c r="S37" s="419"/>
      <c r="T37" s="91"/>
      <c r="U37" s="4"/>
      <c r="V37" s="4"/>
    </row>
    <row r="38" spans="1:22" s="46" customFormat="1" ht="110.4" customHeight="1" thickBot="1">
      <c r="A38" s="91"/>
      <c r="B38" s="438"/>
      <c r="C38" s="465" t="s">
        <v>245</v>
      </c>
      <c r="D38" s="466">
        <v>2014</v>
      </c>
      <c r="E38" s="466">
        <v>12</v>
      </c>
      <c r="F38" s="1252" t="s">
        <v>253</v>
      </c>
      <c r="G38" s="1250"/>
      <c r="H38" s="1250"/>
      <c r="I38" s="1250"/>
      <c r="J38" s="1250"/>
      <c r="K38" s="1250"/>
      <c r="L38" s="1250"/>
      <c r="M38" s="1250"/>
      <c r="N38" s="1250"/>
      <c r="O38" s="1250"/>
      <c r="P38" s="1250"/>
      <c r="Q38" s="1250"/>
      <c r="R38" s="1251"/>
      <c r="S38" s="419"/>
      <c r="T38" s="91"/>
      <c r="U38" s="4"/>
      <c r="V38" s="4"/>
    </row>
    <row r="39" spans="1:22" s="46" customFormat="1" ht="180.6" customHeight="1" thickBot="1">
      <c r="A39" s="91"/>
      <c r="B39" s="438"/>
      <c r="C39" s="465" t="s">
        <v>660</v>
      </c>
      <c r="D39" s="466">
        <v>2020</v>
      </c>
      <c r="E39" s="467">
        <v>11</v>
      </c>
      <c r="F39" s="1249" t="s">
        <v>1173</v>
      </c>
      <c r="G39" s="1250"/>
      <c r="H39" s="1250"/>
      <c r="I39" s="1250"/>
      <c r="J39" s="1250"/>
      <c r="K39" s="1250"/>
      <c r="L39" s="1250"/>
      <c r="M39" s="1250"/>
      <c r="N39" s="1250"/>
      <c r="O39" s="1250"/>
      <c r="P39" s="1250"/>
      <c r="Q39" s="1250"/>
      <c r="R39" s="1251"/>
      <c r="S39" s="419"/>
      <c r="T39" s="91"/>
      <c r="U39" s="4"/>
      <c r="V39" s="4"/>
    </row>
    <row r="40" spans="1:22" s="46" customFormat="1" ht="17.399999999999999"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8" hidden="1"/>
    <row r="44" spans="1:22" ht="13.8" hidden="1"/>
    <row r="45" spans="1:22" ht="13.8" hidden="1"/>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359</v>
      </c>
      <c r="E1" s="175" t="s">
        <v>315</v>
      </c>
      <c r="F1" s="175"/>
    </row>
    <row r="2" spans="2:7">
      <c r="B2" s="174" t="s">
        <v>27</v>
      </c>
      <c r="C2" s="174" t="s">
        <v>344</v>
      </c>
    </row>
    <row r="3" spans="2:7">
      <c r="B3" s="174" t="s">
        <v>316</v>
      </c>
      <c r="C3" s="553" t="s">
        <v>360</v>
      </c>
      <c r="D3" s="553" t="s">
        <v>361</v>
      </c>
      <c r="E3" s="553" t="s">
        <v>362</v>
      </c>
      <c r="F3" s="553" t="s">
        <v>363</v>
      </c>
    </row>
    <row r="4" spans="2:7" ht="26.4">
      <c r="B4" s="174" t="s">
        <v>274</v>
      </c>
      <c r="C4" s="174" t="s">
        <v>364</v>
      </c>
      <c r="D4" s="174" t="s">
        <v>726</v>
      </c>
      <c r="E4" s="174" t="s">
        <v>331</v>
      </c>
      <c r="F4" s="174" t="s">
        <v>365</v>
      </c>
    </row>
    <row r="5" spans="2:7" ht="39.6">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9.6">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397</v>
      </c>
      <c r="E1" s="175" t="s">
        <v>315</v>
      </c>
      <c r="F1" s="175"/>
    </row>
    <row r="2" spans="2:7">
      <c r="B2" s="174" t="s">
        <v>27</v>
      </c>
      <c r="C2" s="174" t="s">
        <v>394</v>
      </c>
    </row>
    <row r="3" spans="2:7">
      <c r="B3" s="108" t="s">
        <v>316</v>
      </c>
      <c r="C3" s="108" t="s">
        <v>389</v>
      </c>
      <c r="D3" s="108" t="s">
        <v>390</v>
      </c>
      <c r="E3" s="108" t="s">
        <v>391</v>
      </c>
      <c r="F3" s="108" t="s">
        <v>392</v>
      </c>
    </row>
    <row r="4" spans="2:7" ht="26.4">
      <c r="B4" s="108" t="s">
        <v>274</v>
      </c>
      <c r="C4" s="108" t="s">
        <v>364</v>
      </c>
      <c r="D4" s="174" t="s">
        <v>726</v>
      </c>
      <c r="E4" s="108" t="s">
        <v>331</v>
      </c>
      <c r="F4" s="108" t="s">
        <v>365</v>
      </c>
    </row>
    <row r="5" spans="2:7" ht="39.6">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6.4">
      <c r="B4" s="185" t="s">
        <v>274</v>
      </c>
      <c r="C4" s="761" t="s">
        <v>409</v>
      </c>
      <c r="D4" s="761" t="s">
        <v>410</v>
      </c>
      <c r="E4" s="761" t="s">
        <v>411</v>
      </c>
      <c r="F4" s="761" t="s">
        <v>412</v>
      </c>
      <c r="G4" s="761"/>
      <c r="H4" s="761" t="s">
        <v>413</v>
      </c>
      <c r="I4" s="761"/>
    </row>
    <row r="5" spans="1:10" ht="92.4">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6.4">
      <c r="B13" s="179">
        <v>8</v>
      </c>
      <c r="C13" s="765"/>
      <c r="D13" s="765" t="s">
        <v>418</v>
      </c>
      <c r="E13" s="765" t="s">
        <v>267</v>
      </c>
      <c r="F13" s="765" t="s">
        <v>269</v>
      </c>
      <c r="G13" s="768"/>
      <c r="H13" s="765" t="s">
        <v>893</v>
      </c>
      <c r="J13">
        <v>8</v>
      </c>
    </row>
    <row r="14" spans="1:10" ht="39.6">
      <c r="B14" s="179">
        <v>9</v>
      </c>
      <c r="C14" s="765"/>
      <c r="D14" s="765" t="s">
        <v>268</v>
      </c>
      <c r="E14" s="765"/>
      <c r="F14" s="765" t="s">
        <v>423</v>
      </c>
      <c r="G14" s="769" t="s">
        <v>976</v>
      </c>
      <c r="H14" s="766" t="s">
        <v>421</v>
      </c>
      <c r="I14" s="766" t="s">
        <v>894</v>
      </c>
      <c r="J14">
        <v>9</v>
      </c>
    </row>
    <row r="15" spans="1:10" ht="66">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6.4">
      <c r="B4" s="200" t="s">
        <v>274</v>
      </c>
      <c r="C4" s="770" t="s">
        <v>426</v>
      </c>
      <c r="D4" s="770" t="s">
        <v>427</v>
      </c>
      <c r="E4" s="770" t="s">
        <v>428</v>
      </c>
      <c r="F4" s="185"/>
      <c r="H4" s="185"/>
    </row>
    <row r="5" spans="2:9" ht="52.8">
      <c r="B5" s="200" t="s">
        <v>284</v>
      </c>
      <c r="C5" s="585" t="s">
        <v>429</v>
      </c>
      <c r="D5" s="585" t="s">
        <v>827</v>
      </c>
      <c r="E5" s="585" t="s">
        <v>828</v>
      </c>
      <c r="F5" s="184"/>
      <c r="G5" s="184"/>
      <c r="H5" s="184"/>
      <c r="I5" s="184"/>
    </row>
    <row r="6" spans="2:9">
      <c r="B6" s="429">
        <v>1</v>
      </c>
      <c r="C6" s="766"/>
      <c r="D6" s="766" t="s">
        <v>497</v>
      </c>
      <c r="E6" s="766"/>
      <c r="F6" s="179">
        <v>1</v>
      </c>
      <c r="H6" s="185"/>
    </row>
    <row r="7" spans="2:9" ht="92.4">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9.2">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9.2">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6.4">
      <c r="B4" s="185" t="s">
        <v>274</v>
      </c>
      <c r="C4" s="770" t="s">
        <v>447</v>
      </c>
      <c r="D4" s="770" t="s">
        <v>448</v>
      </c>
      <c r="E4" s="200" t="s">
        <v>410</v>
      </c>
      <c r="F4" s="108" t="s">
        <v>449</v>
      </c>
      <c r="G4" s="194"/>
    </row>
    <row r="5" spans="2:8" ht="79.2">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2.8">
      <c r="B9" s="195">
        <v>4</v>
      </c>
      <c r="C9" s="765" t="s">
        <v>732</v>
      </c>
      <c r="D9" s="765"/>
      <c r="G9" s="195">
        <v>4</v>
      </c>
      <c r="H9" s="193"/>
    </row>
    <row r="10" spans="2:8">
      <c r="B10" s="195">
        <v>5</v>
      </c>
      <c r="C10" s="768"/>
      <c r="D10" s="773"/>
      <c r="E10" s="766" t="s">
        <v>731</v>
      </c>
      <c r="F10" s="184" t="s">
        <v>731</v>
      </c>
      <c r="G10" s="195">
        <v>5</v>
      </c>
    </row>
    <row r="11" spans="2:8" ht="26.4">
      <c r="B11" s="195">
        <v>6</v>
      </c>
      <c r="C11" s="184"/>
      <c r="D11" s="765" t="s">
        <v>733</v>
      </c>
      <c r="G11" s="195">
        <v>6</v>
      </c>
      <c r="H11" s="193"/>
    </row>
    <row r="12" spans="2:8">
      <c r="B12" s="195">
        <v>7</v>
      </c>
      <c r="C12" s="768"/>
      <c r="D12" s="774"/>
      <c r="E12" s="766" t="s">
        <v>269</v>
      </c>
      <c r="F12" s="184" t="s">
        <v>269</v>
      </c>
      <c r="G12" s="195">
        <v>7</v>
      </c>
    </row>
    <row r="13" spans="2:8" ht="39.6">
      <c r="B13" s="195">
        <v>8</v>
      </c>
      <c r="C13" s="765"/>
      <c r="D13" s="765"/>
      <c r="E13" s="766" t="s">
        <v>417</v>
      </c>
      <c r="F13" s="622" t="s">
        <v>734</v>
      </c>
      <c r="G13" s="195">
        <v>8</v>
      </c>
      <c r="H13" s="193"/>
    </row>
    <row r="14" spans="2:8">
      <c r="B14" s="195">
        <v>9</v>
      </c>
      <c r="C14" s="765"/>
      <c r="D14" s="765"/>
      <c r="E14" s="766" t="s">
        <v>418</v>
      </c>
      <c r="F14" s="174"/>
      <c r="G14" s="195">
        <v>9</v>
      </c>
    </row>
    <row r="15" spans="2:8" ht="26.4">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Props1.xml><?xml version="1.0" encoding="utf-8"?>
<ds:datastoreItem xmlns:ds="http://schemas.openxmlformats.org/officeDocument/2006/customXml" ds:itemID="{C40AB433-2464-4A74-990F-02C0F20E2975}"/>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James C Baer</cp:lastModifiedBy>
  <cp:lastPrinted>2020-12-04T20:09:27Z</cp:lastPrinted>
  <dcterms:created xsi:type="dcterms:W3CDTF">2004-11-04T17:59:53Z</dcterms:created>
  <dcterms:modified xsi:type="dcterms:W3CDTF">2026-03-05T13:11:20Z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